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3.xml" ContentType="application/vnd.openxmlformats-officedocument.spreadsheetml.comments+xml"/>
  <Override PartName="/xl/drawings/drawing16.xml" ContentType="application/vnd.openxmlformats-officedocument.drawing+xml"/>
  <Override PartName="/xl/comments4.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C:\Users\vald0159\Documents\Mine websteder\Teknologi\LCA\"/>
    </mc:Choice>
  </mc:AlternateContent>
  <xr:revisionPtr revIDLastSave="0" documentId="8_{5389DD11-1568-4610-A113-11D41A3EAC68}" xr6:coauthVersionLast="46" xr6:coauthVersionMax="46" xr10:uidLastSave="{00000000-0000-0000-0000-000000000000}"/>
  <bookViews>
    <workbookView xWindow="-108" yWindow="-108" windowWidth="23256" windowHeight="12576" tabRatio="898" firstSheet="25" activeTab="34" xr2:uid="{00000000-000D-0000-FFFF-FFFF00000000}"/>
  </bookViews>
  <sheets>
    <sheet name="About og Fane-Link" sheetId="8" r:id="rId1"/>
    <sheet name="Emballage" sheetId="11" r:id="rId2"/>
    <sheet name="Boligens forbrug" sheetId="9" r:id="rId3"/>
    <sheet name="Effektfaktor" sheetId="12" r:id="rId4"/>
    <sheet name="Basic Data" sheetId="19" r:id="rId5"/>
    <sheet name="CO2 udledning" sheetId="6" r:id="rId6"/>
    <sheet name="Energiforsyning" sheetId="14" r:id="rId7"/>
    <sheet name="Global prod." sheetId="15" r:id="rId8"/>
    <sheet name="Fremstillings &amp; Brændværdi" sheetId="2" r:id="rId9"/>
    <sheet name="Materiale_indhold" sheetId="5" r:id="rId10"/>
    <sheet name="Fotokemisk" sheetId="30" r:id="rId11"/>
    <sheet name="Forsuring" sheetId="31" r:id="rId12"/>
    <sheet name="Næringssalte" sheetId="32" r:id="rId13"/>
    <sheet name="Støj" sheetId="35" r:id="rId14"/>
    <sheet name="Metanudslip" sheetId="33" r:id="rId15"/>
    <sheet name="Boligopvarmning" sheetId="34" r:id="rId16"/>
    <sheet name="Madvarer" sheetId="18" r:id="rId17"/>
    <sheet name="Transport" sheetId="7" r:id="rId18"/>
    <sheet name="Kørsels-Calculator" sheetId="40" r:id="rId19"/>
    <sheet name="Personforbrug" sheetId="10" r:id="rId20"/>
    <sheet name="Processer" sheetId="3" r:id="rId21"/>
    <sheet name="Ulykker og lidelser" sheetId="21" r:id="rId22"/>
    <sheet name="Energiforbrug" sheetId="20" r:id="rId23"/>
    <sheet name="Belysning" sheetId="36" r:id="rId24"/>
    <sheet name="Forsyningshorisont mm." sheetId="42" r:id="rId25"/>
    <sheet name="Fremstilling" sheetId="28" r:id="rId26"/>
    <sheet name="Gloser" sheetId="22" r:id="rId27"/>
    <sheet name="Skjult_forbrug" sheetId="41" r:id="rId28"/>
    <sheet name="Emmision faktor" sheetId="23" r:id="rId29"/>
    <sheet name="Proces-emisioner" sheetId="37" r:id="rId30"/>
    <sheet name="Konvertering" sheetId="38" r:id="rId31"/>
    <sheet name="Emision" sheetId="39" r:id="rId32"/>
    <sheet name="Husets udledning Calculator" sheetId="24" r:id="rId33"/>
    <sheet name="Fuel_Emissions_sammenligning" sheetId="43" r:id="rId34"/>
    <sheet name="Basic_data_2" sheetId="44" r:id="rId35"/>
  </sheets>
  <externalReferences>
    <externalReference r:id="rId36"/>
  </externalReferences>
  <definedNames>
    <definedName name="_ftn1" localSheetId="5">'CO2 udledning'!$J$62</definedName>
    <definedName name="_ftn2" localSheetId="5">'CO2 udledning'!$J$63</definedName>
    <definedName name="_ftn3" localSheetId="5">'CO2 udledning'!$J$64</definedName>
    <definedName name="_ftnref1" localSheetId="5">'CO2 udledning'!$J$27</definedName>
    <definedName name="_ftnref2" localSheetId="5">'CO2 udledning'!$L$28</definedName>
    <definedName name="_ftnref3" localSheetId="5">'CO2 udledning'!$L$30</definedName>
    <definedName name="_xlnm.Print_Area" localSheetId="17">Transport!$A$2:$J$114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2" i="44" l="1"/>
  <c r="G132" i="44"/>
  <c r="F132" i="44"/>
  <c r="E132" i="44"/>
  <c r="D132" i="44"/>
  <c r="C132" i="44"/>
  <c r="H131" i="44"/>
  <c r="G131" i="44"/>
  <c r="F131" i="44"/>
  <c r="E131" i="44"/>
  <c r="D131" i="44"/>
  <c r="C131" i="44"/>
  <c r="H130" i="44"/>
  <c r="G130" i="44"/>
  <c r="F130" i="44"/>
  <c r="E130" i="44"/>
  <c r="D130" i="44"/>
  <c r="C130" i="44"/>
  <c r="H129" i="44"/>
  <c r="G129" i="44"/>
  <c r="F129" i="44"/>
  <c r="E129" i="44"/>
  <c r="D129" i="44"/>
  <c r="C129" i="44"/>
  <c r="H128" i="44"/>
  <c r="G128" i="44"/>
  <c r="F128" i="44"/>
  <c r="E128" i="44"/>
  <c r="D128" i="44"/>
  <c r="C128" i="44"/>
  <c r="H127" i="44"/>
  <c r="G127" i="44"/>
  <c r="F127" i="44"/>
  <c r="E127" i="44"/>
  <c r="D127" i="44"/>
  <c r="C127" i="44"/>
  <c r="H126" i="44"/>
  <c r="G126" i="44"/>
  <c r="F126" i="44"/>
  <c r="E126" i="44"/>
  <c r="D126" i="44"/>
  <c r="C126" i="44"/>
  <c r="H125" i="44"/>
  <c r="G125" i="44"/>
  <c r="F125" i="44"/>
  <c r="E125" i="44"/>
  <c r="D125" i="44"/>
  <c r="C125" i="44"/>
  <c r="H124" i="44"/>
  <c r="G124" i="44"/>
  <c r="F124" i="44"/>
  <c r="E124" i="44"/>
  <c r="D124" i="44"/>
  <c r="C124" i="44"/>
  <c r="H123" i="44"/>
  <c r="G123" i="44"/>
  <c r="F123" i="44"/>
  <c r="E123" i="44"/>
  <c r="D123" i="44"/>
  <c r="C123" i="44"/>
  <c r="H122" i="44"/>
  <c r="G122" i="44"/>
  <c r="F122" i="44"/>
  <c r="E122" i="44"/>
  <c r="D122" i="44"/>
  <c r="C122" i="44"/>
  <c r="H121" i="44"/>
  <c r="G121" i="44"/>
  <c r="F121" i="44"/>
  <c r="E121" i="44"/>
  <c r="D121" i="44"/>
  <c r="C121" i="44"/>
  <c r="H120" i="44"/>
  <c r="G120" i="44"/>
  <c r="F120" i="44"/>
  <c r="E120" i="44"/>
  <c r="D120" i="44"/>
  <c r="C120" i="44"/>
  <c r="H119" i="44"/>
  <c r="G119" i="44"/>
  <c r="F119" i="44"/>
  <c r="E119" i="44"/>
  <c r="D119" i="44"/>
  <c r="C119" i="44"/>
  <c r="H118" i="44"/>
  <c r="G118" i="44"/>
  <c r="F118" i="44"/>
  <c r="E118" i="44"/>
  <c r="D118" i="44"/>
  <c r="C118" i="44"/>
  <c r="H117" i="44"/>
  <c r="G117" i="44"/>
  <c r="F117" i="44"/>
  <c r="E117" i="44"/>
  <c r="D117" i="44"/>
  <c r="C117" i="44"/>
  <c r="H116" i="44"/>
  <c r="G116" i="44"/>
  <c r="F116" i="44"/>
  <c r="E116" i="44"/>
  <c r="D116" i="44"/>
  <c r="C116" i="44"/>
  <c r="H115" i="44"/>
  <c r="G115" i="44"/>
  <c r="F115" i="44"/>
  <c r="E115" i="44"/>
  <c r="D115" i="44"/>
  <c r="C115" i="44"/>
  <c r="H114" i="44"/>
  <c r="G114" i="44"/>
  <c r="F114" i="44"/>
  <c r="E114" i="44"/>
  <c r="D114" i="44"/>
  <c r="C114" i="44"/>
  <c r="H113" i="44"/>
  <c r="G113" i="44"/>
  <c r="F113" i="44"/>
  <c r="E113" i="44"/>
  <c r="D113" i="44"/>
  <c r="C113" i="44"/>
  <c r="H112" i="44"/>
  <c r="G112" i="44"/>
  <c r="F112" i="44"/>
  <c r="E112" i="44"/>
  <c r="D112" i="44"/>
  <c r="C112" i="44"/>
  <c r="H111" i="44"/>
  <c r="G111" i="44"/>
  <c r="F111" i="44"/>
  <c r="E111" i="44"/>
  <c r="D111" i="44"/>
  <c r="C111" i="44"/>
  <c r="H110" i="44"/>
  <c r="G110" i="44"/>
  <c r="F110" i="44"/>
  <c r="E110" i="44"/>
  <c r="D110" i="44"/>
  <c r="C110" i="44"/>
  <c r="H109" i="44"/>
  <c r="G109" i="44"/>
  <c r="F109" i="44"/>
  <c r="E109" i="44"/>
  <c r="D109" i="44"/>
  <c r="C109" i="44"/>
  <c r="H108" i="44"/>
  <c r="G108" i="44"/>
  <c r="F108" i="44"/>
  <c r="E108" i="44"/>
  <c r="D108" i="44"/>
  <c r="C108" i="44"/>
  <c r="H107" i="44"/>
  <c r="G107" i="44"/>
  <c r="F107" i="44"/>
  <c r="E107" i="44"/>
  <c r="D107" i="44"/>
  <c r="C107" i="44"/>
  <c r="H106" i="44"/>
  <c r="G106" i="44"/>
  <c r="F106" i="44"/>
  <c r="E106" i="44"/>
  <c r="D106" i="44"/>
  <c r="C106" i="44"/>
  <c r="H105" i="44"/>
  <c r="G105" i="44"/>
  <c r="F105" i="44"/>
  <c r="E105" i="44"/>
  <c r="D105" i="44"/>
  <c r="C105" i="44"/>
  <c r="H104" i="44"/>
  <c r="G104" i="44"/>
  <c r="F104" i="44"/>
  <c r="E104" i="44"/>
  <c r="D104" i="44"/>
  <c r="C104" i="44"/>
  <c r="H103" i="44"/>
  <c r="G103" i="44"/>
  <c r="F103" i="44"/>
  <c r="E103" i="44"/>
  <c r="D103" i="44"/>
  <c r="C103" i="44"/>
  <c r="H102" i="44"/>
  <c r="G102" i="44"/>
  <c r="F102" i="44"/>
  <c r="E102" i="44"/>
  <c r="D102" i="44"/>
  <c r="C102" i="44"/>
  <c r="H101" i="44"/>
  <c r="G101" i="44"/>
  <c r="F101" i="44"/>
  <c r="E101" i="44"/>
  <c r="D101" i="44"/>
  <c r="C101" i="44"/>
  <c r="H100" i="44"/>
  <c r="G100" i="44"/>
  <c r="F100" i="44"/>
  <c r="E100" i="44"/>
  <c r="D100" i="44"/>
  <c r="C100" i="44"/>
  <c r="H99" i="44"/>
  <c r="G99" i="44"/>
  <c r="F99" i="44"/>
  <c r="E99" i="44"/>
  <c r="D99" i="44"/>
  <c r="C99" i="44"/>
  <c r="H98" i="44"/>
  <c r="G98" i="44"/>
  <c r="F98" i="44"/>
  <c r="E98" i="44"/>
  <c r="D98" i="44"/>
  <c r="C98" i="44"/>
  <c r="H97" i="44"/>
  <c r="G97" i="44"/>
  <c r="F97" i="44"/>
  <c r="E97" i="44"/>
  <c r="D97" i="44"/>
  <c r="C97" i="44"/>
  <c r="H96" i="44"/>
  <c r="G96" i="44"/>
  <c r="F96" i="44"/>
  <c r="E96" i="44"/>
  <c r="D96" i="44"/>
  <c r="C96" i="44"/>
  <c r="H95" i="44"/>
  <c r="G95" i="44"/>
  <c r="F95" i="44"/>
  <c r="E95" i="44"/>
  <c r="D95" i="44"/>
  <c r="C95" i="44"/>
  <c r="H94" i="44"/>
  <c r="G94" i="44"/>
  <c r="F94" i="44"/>
  <c r="E94" i="44"/>
  <c r="D94" i="44"/>
  <c r="C94" i="44"/>
  <c r="H93" i="44"/>
  <c r="G93" i="44"/>
  <c r="F93" i="44"/>
  <c r="E93" i="44"/>
  <c r="D93" i="44"/>
  <c r="C93" i="44"/>
  <c r="H92" i="44"/>
  <c r="G92" i="44"/>
  <c r="F92" i="44"/>
  <c r="E92" i="44"/>
  <c r="D92" i="44"/>
  <c r="C92" i="44"/>
  <c r="H91" i="44"/>
  <c r="G91" i="44"/>
  <c r="F91" i="44"/>
  <c r="E91" i="44"/>
  <c r="D91" i="44"/>
  <c r="C91" i="44"/>
  <c r="H90" i="44"/>
  <c r="G90" i="44"/>
  <c r="F90" i="44"/>
  <c r="E90" i="44"/>
  <c r="D90" i="44"/>
  <c r="C90" i="44"/>
  <c r="H89" i="44"/>
  <c r="G89" i="44"/>
  <c r="F89" i="44"/>
  <c r="E89" i="44"/>
  <c r="D89" i="44"/>
  <c r="H88" i="44"/>
  <c r="G88" i="44"/>
  <c r="F88" i="44"/>
  <c r="E88" i="44"/>
  <c r="D88" i="44"/>
  <c r="C88" i="44"/>
  <c r="H87" i="44"/>
  <c r="G87" i="44"/>
  <c r="F87" i="44"/>
  <c r="E87" i="44"/>
  <c r="D87" i="44"/>
  <c r="C87" i="44"/>
  <c r="H86" i="44"/>
  <c r="G86" i="44"/>
  <c r="F86" i="44"/>
  <c r="E86" i="44"/>
  <c r="D86" i="44"/>
  <c r="C86" i="44"/>
  <c r="H85" i="44"/>
  <c r="G85" i="44"/>
  <c r="F85" i="44"/>
  <c r="E85" i="44"/>
  <c r="D85" i="44"/>
  <c r="C85" i="44"/>
  <c r="H84" i="44"/>
  <c r="G84" i="44"/>
  <c r="F84" i="44"/>
  <c r="E84" i="44"/>
  <c r="D84" i="44"/>
  <c r="C84" i="44"/>
  <c r="H81" i="44"/>
  <c r="G81" i="44"/>
  <c r="F81" i="44"/>
  <c r="E81" i="44"/>
  <c r="D81" i="44"/>
  <c r="C81" i="44"/>
  <c r="H80" i="44"/>
  <c r="G80" i="44"/>
  <c r="F80" i="44"/>
  <c r="E80" i="44"/>
  <c r="D80" i="44"/>
  <c r="C80" i="44"/>
  <c r="H79" i="44"/>
  <c r="G79" i="44"/>
  <c r="F79" i="44"/>
  <c r="E79" i="44"/>
  <c r="D79" i="44"/>
  <c r="C79" i="44"/>
  <c r="H78" i="44"/>
  <c r="G78" i="44"/>
  <c r="F78" i="44"/>
  <c r="E78" i="44"/>
  <c r="D78" i="44"/>
  <c r="C78" i="44"/>
  <c r="H77" i="44"/>
  <c r="G77" i="44"/>
  <c r="F77" i="44"/>
  <c r="E77" i="44"/>
  <c r="D77" i="44"/>
  <c r="C77" i="44"/>
  <c r="E16" i="43" l="1"/>
  <c r="D16" i="43"/>
  <c r="C16" i="43"/>
  <c r="B16" i="43"/>
  <c r="E15" i="43"/>
  <c r="D15" i="43"/>
  <c r="C15" i="43"/>
  <c r="B15" i="43"/>
  <c r="E14" i="43"/>
  <c r="D14" i="43"/>
  <c r="C14" i="43"/>
  <c r="B14" i="43"/>
  <c r="E13" i="43"/>
  <c r="D13" i="43"/>
  <c r="C13" i="43"/>
  <c r="B13" i="43"/>
  <c r="E12" i="43"/>
  <c r="D12" i="43"/>
  <c r="C12" i="43"/>
  <c r="B12" i="43"/>
  <c r="I8" i="36" l="1"/>
  <c r="I9" i="36"/>
  <c r="I10" i="36"/>
  <c r="I11" i="36"/>
  <c r="I12" i="36"/>
  <c r="I13" i="36"/>
  <c r="I14" i="36"/>
  <c r="I7" i="36"/>
  <c r="F8" i="36"/>
  <c r="F9" i="36"/>
  <c r="F10" i="36"/>
  <c r="F11" i="36"/>
  <c r="F12" i="36"/>
  <c r="F13" i="36"/>
  <c r="F14" i="36"/>
  <c r="F7" i="36"/>
  <c r="M15" i="40" l="1"/>
  <c r="K15" i="40"/>
  <c r="I15" i="40"/>
  <c r="D15" i="40" s="1"/>
  <c r="E15" i="40"/>
  <c r="M14" i="40"/>
  <c r="K14" i="40"/>
  <c r="I14" i="40"/>
  <c r="D14" i="40" s="1"/>
  <c r="E14" i="40"/>
  <c r="M13" i="40"/>
  <c r="K13" i="40"/>
  <c r="I13" i="40"/>
  <c r="E13" i="40"/>
  <c r="E16" i="40" s="1"/>
  <c r="N137" i="39"/>
  <c r="M137" i="39"/>
  <c r="N136" i="39"/>
  <c r="M136" i="39"/>
  <c r="N135" i="39"/>
  <c r="M135" i="39"/>
  <c r="N134" i="39"/>
  <c r="M134" i="39"/>
  <c r="N133" i="39"/>
  <c r="M133" i="39"/>
  <c r="N132" i="39"/>
  <c r="M132" i="39"/>
  <c r="N131" i="39"/>
  <c r="M131" i="39"/>
  <c r="N130" i="39"/>
  <c r="M130" i="39"/>
  <c r="N129" i="39"/>
  <c r="M129" i="39"/>
  <c r="N128" i="39"/>
  <c r="M128" i="39"/>
  <c r="N127" i="39"/>
  <c r="M127" i="39"/>
  <c r="N126" i="39"/>
  <c r="M126" i="39"/>
  <c r="N125" i="39"/>
  <c r="M125" i="39"/>
  <c r="N124" i="39"/>
  <c r="M124" i="39"/>
  <c r="N123" i="39"/>
  <c r="M123" i="39"/>
  <c r="N122" i="39"/>
  <c r="M122" i="39"/>
  <c r="N121" i="39"/>
  <c r="M121" i="39"/>
  <c r="N120" i="39"/>
  <c r="M120" i="39"/>
  <c r="N119" i="39"/>
  <c r="M119" i="39"/>
  <c r="N118" i="39"/>
  <c r="M118" i="39"/>
  <c r="N117" i="39"/>
  <c r="M117" i="39"/>
  <c r="N116" i="39"/>
  <c r="M116" i="39"/>
  <c r="N115" i="39"/>
  <c r="M115" i="39"/>
  <c r="N114" i="39"/>
  <c r="M114" i="39"/>
  <c r="N113" i="39"/>
  <c r="M113" i="39"/>
  <c r="N112" i="39"/>
  <c r="M112" i="39"/>
  <c r="N111" i="39"/>
  <c r="M111" i="39"/>
  <c r="N110" i="39"/>
  <c r="M110" i="39"/>
  <c r="N109" i="39"/>
  <c r="M109" i="39"/>
  <c r="N108" i="39"/>
  <c r="M108" i="39"/>
  <c r="N107" i="39"/>
  <c r="M107" i="39"/>
  <c r="N106" i="39"/>
  <c r="M106" i="39"/>
  <c r="N105" i="39"/>
  <c r="M105" i="39"/>
  <c r="N104" i="39"/>
  <c r="M104" i="39"/>
  <c r="N103" i="39"/>
  <c r="M103" i="39"/>
  <c r="N102" i="39"/>
  <c r="M102" i="39"/>
  <c r="N101" i="39"/>
  <c r="M101" i="39"/>
  <c r="N100" i="39"/>
  <c r="M100" i="39"/>
  <c r="N99" i="39"/>
  <c r="M99" i="39"/>
  <c r="N98" i="39"/>
  <c r="M98" i="39"/>
  <c r="N97" i="39"/>
  <c r="M97" i="39"/>
  <c r="N96" i="39"/>
  <c r="M96" i="39"/>
  <c r="N95" i="39"/>
  <c r="M95" i="39"/>
  <c r="N94" i="39"/>
  <c r="M94" i="39"/>
  <c r="N93" i="39"/>
  <c r="M93" i="39"/>
  <c r="N92" i="39"/>
  <c r="M92" i="39"/>
  <c r="N91" i="39"/>
  <c r="M91" i="39"/>
  <c r="N90" i="39"/>
  <c r="M90" i="39"/>
  <c r="N89" i="39"/>
  <c r="M89" i="39"/>
  <c r="N88" i="39"/>
  <c r="M88" i="39"/>
  <c r="N87" i="39"/>
  <c r="M87" i="39"/>
  <c r="N86" i="39"/>
  <c r="M86" i="39"/>
  <c r="N85" i="39"/>
  <c r="M85" i="39"/>
  <c r="N84" i="39"/>
  <c r="M84" i="39"/>
  <c r="N83" i="39"/>
  <c r="M83" i="39"/>
  <c r="N82" i="39"/>
  <c r="M82" i="39"/>
  <c r="N81" i="39"/>
  <c r="M81" i="39"/>
  <c r="N80" i="39"/>
  <c r="M80" i="39"/>
  <c r="N79" i="39"/>
  <c r="M79" i="39"/>
  <c r="N78" i="39"/>
  <c r="M78" i="39"/>
  <c r="N77" i="39"/>
  <c r="M77" i="39"/>
  <c r="N76" i="39"/>
  <c r="M76" i="39"/>
  <c r="N75" i="39"/>
  <c r="M75" i="39"/>
  <c r="N74" i="39"/>
  <c r="M74" i="39"/>
  <c r="N73" i="39"/>
  <c r="M73" i="39"/>
  <c r="N72" i="39"/>
  <c r="M72" i="39"/>
  <c r="N71" i="39"/>
  <c r="M71" i="39"/>
  <c r="N70" i="39"/>
  <c r="M70" i="39"/>
  <c r="N69" i="39"/>
  <c r="M69" i="39"/>
  <c r="N68" i="39"/>
  <c r="M68" i="39"/>
  <c r="N67" i="39"/>
  <c r="M67" i="39"/>
  <c r="N66" i="39"/>
  <c r="M66" i="39"/>
  <c r="N65" i="39"/>
  <c r="M65" i="39"/>
  <c r="N64" i="39"/>
  <c r="M64" i="39"/>
  <c r="N63" i="39"/>
  <c r="M63" i="39"/>
  <c r="C68" i="38"/>
  <c r="G68" i="38" s="1"/>
  <c r="C67" i="38"/>
  <c r="D67" i="38" s="1"/>
  <c r="C66" i="38"/>
  <c r="G66" i="38" s="1"/>
  <c r="C65" i="38"/>
  <c r="G65" i="38" s="1"/>
  <c r="E61" i="38"/>
  <c r="G61" i="38" s="1"/>
  <c r="G60" i="38"/>
  <c r="G57" i="38" s="1"/>
  <c r="C61" i="38" s="1"/>
  <c r="D61" i="38" s="1"/>
  <c r="F60" i="38"/>
  <c r="E60" i="38"/>
  <c r="C60" i="38"/>
  <c r="D60" i="38" s="1"/>
  <c r="F58" i="38"/>
  <c r="C58" i="38"/>
  <c r="E57" i="38"/>
  <c r="C59" i="38" s="1"/>
  <c r="D59" i="38" s="1"/>
  <c r="C51" i="38"/>
  <c r="D51" i="38" s="1"/>
  <c r="C50" i="38"/>
  <c r="D50" i="38" s="1"/>
  <c r="C49" i="38"/>
  <c r="E49" i="38" s="1"/>
  <c r="C43" i="38"/>
  <c r="G43" i="38" s="1"/>
  <c r="F42" i="38"/>
  <c r="C42" i="38"/>
  <c r="G42" i="38" s="1"/>
  <c r="H41" i="38"/>
  <c r="E41" i="38"/>
  <c r="D41" i="38"/>
  <c r="C41" i="38"/>
  <c r="G41" i="38" s="1"/>
  <c r="C40" i="38"/>
  <c r="G40" i="38" s="1"/>
  <c r="C39" i="38"/>
  <c r="G39" i="38" s="1"/>
  <c r="F33" i="38"/>
  <c r="C33" i="38"/>
  <c r="E33" i="38" s="1"/>
  <c r="C32" i="38"/>
  <c r="D32" i="38" s="1"/>
  <c r="E31" i="38"/>
  <c r="D31" i="38"/>
  <c r="C31" i="38"/>
  <c r="G31" i="38" s="1"/>
  <c r="F30" i="38"/>
  <c r="E30" i="38"/>
  <c r="D30" i="38"/>
  <c r="C30" i="38"/>
  <c r="G30" i="38" s="1"/>
  <c r="A28" i="38"/>
  <c r="A47" i="38" s="1"/>
  <c r="H94" i="37"/>
  <c r="E94" i="37"/>
  <c r="H93" i="37"/>
  <c r="E93" i="37"/>
  <c r="H92" i="37"/>
  <c r="E92" i="37"/>
  <c r="H90" i="37"/>
  <c r="H89" i="37"/>
  <c r="H88" i="37"/>
  <c r="H87" i="37"/>
  <c r="H86" i="37"/>
  <c r="H85" i="37"/>
  <c r="H83" i="37"/>
  <c r="H82" i="37"/>
  <c r="H81" i="37"/>
  <c r="H80" i="37"/>
  <c r="H79" i="37"/>
  <c r="H78" i="37"/>
  <c r="H77" i="37"/>
  <c r="H76" i="37"/>
  <c r="H75" i="37"/>
  <c r="H74" i="37"/>
  <c r="H73" i="37"/>
  <c r="H72" i="37"/>
  <c r="H71" i="37"/>
  <c r="H70" i="37"/>
  <c r="H69" i="37"/>
  <c r="H67" i="37"/>
  <c r="H66" i="37"/>
  <c r="H65" i="37"/>
  <c r="H64" i="37"/>
  <c r="H62" i="37"/>
  <c r="H61" i="37"/>
  <c r="H60" i="37"/>
  <c r="H59" i="37"/>
  <c r="H58" i="37"/>
  <c r="H57" i="37"/>
  <c r="H56" i="37"/>
  <c r="H55" i="37"/>
  <c r="H54" i="37"/>
  <c r="H53" i="37"/>
  <c r="H52" i="37"/>
  <c r="H51" i="37"/>
  <c r="H50" i="37"/>
  <c r="H49" i="37"/>
  <c r="H48" i="37"/>
  <c r="H47" i="37"/>
  <c r="H46" i="37"/>
  <c r="H45" i="37"/>
  <c r="H44" i="37"/>
  <c r="H34" i="37"/>
  <c r="E34" i="37"/>
  <c r="H33" i="37"/>
  <c r="E33" i="37"/>
  <c r="H32" i="37"/>
  <c r="E32" i="37"/>
  <c r="H31" i="37"/>
  <c r="E31" i="37"/>
  <c r="H30" i="37"/>
  <c r="E30" i="37"/>
  <c r="H29" i="37"/>
  <c r="E29" i="37"/>
  <c r="H27" i="37"/>
  <c r="H26" i="37"/>
  <c r="H25" i="37"/>
  <c r="H24" i="37"/>
  <c r="H23" i="37"/>
  <c r="H22" i="37"/>
  <c r="H21" i="37"/>
  <c r="H20" i="37"/>
  <c r="H19" i="37"/>
  <c r="H18" i="37"/>
  <c r="H17" i="37"/>
  <c r="H16" i="37"/>
  <c r="H15" i="37"/>
  <c r="H14" i="37"/>
  <c r="H13" i="37"/>
  <c r="H12" i="37"/>
  <c r="H11" i="37"/>
  <c r="H10" i="37"/>
  <c r="H9" i="37"/>
  <c r="H8" i="37"/>
  <c r="H7" i="37"/>
  <c r="H6" i="37"/>
  <c r="H5" i="37"/>
  <c r="H4" i="37"/>
  <c r="H95" i="37" l="1"/>
  <c r="F40" i="38"/>
  <c r="D43" i="38"/>
  <c r="D49" i="38"/>
  <c r="D65" i="38"/>
  <c r="F68" i="38"/>
  <c r="E39" i="38"/>
  <c r="E43" i="38"/>
  <c r="F61" i="38"/>
  <c r="E65" i="38"/>
  <c r="E66" i="38"/>
  <c r="D13" i="40"/>
  <c r="D16" i="40" s="1"/>
  <c r="D39" i="38"/>
  <c r="D66" i="38"/>
  <c r="H35" i="37"/>
  <c r="H39" i="38"/>
  <c r="H43" i="38"/>
  <c r="G58" i="38"/>
  <c r="F65" i="38"/>
  <c r="N138" i="39"/>
  <c r="G32" i="38"/>
  <c r="F31" i="38"/>
  <c r="E32" i="38"/>
  <c r="D33" i="38"/>
  <c r="A37" i="38"/>
  <c r="F39" i="38"/>
  <c r="D40" i="38"/>
  <c r="H40" i="38"/>
  <c r="F41" i="38"/>
  <c r="D42" i="38"/>
  <c r="H42" i="38"/>
  <c r="F43" i="38"/>
  <c r="G48" i="38"/>
  <c r="C52" i="38" s="1"/>
  <c r="F49" i="38"/>
  <c r="E50" i="38"/>
  <c r="E51" i="38"/>
  <c r="A56" i="38"/>
  <c r="F66" i="38"/>
  <c r="E67" i="38"/>
  <c r="D68" i="38"/>
  <c r="G67" i="38"/>
  <c r="G33" i="38"/>
  <c r="F32" i="38"/>
  <c r="E40" i="38"/>
  <c r="E42" i="38"/>
  <c r="F50" i="38"/>
  <c r="F51" i="38"/>
  <c r="E58" i="38"/>
  <c r="D58" i="38" s="1"/>
  <c r="F67" i="38"/>
  <c r="E68" i="38"/>
  <c r="I126" i="24"/>
  <c r="I118" i="24"/>
  <c r="I112" i="24"/>
  <c r="I102" i="24"/>
  <c r="K102" i="24"/>
  <c r="I97" i="24"/>
  <c r="I93" i="24"/>
  <c r="I82" i="24"/>
  <c r="U58" i="24"/>
  <c r="V57" i="24"/>
  <c r="I57" i="24"/>
  <c r="V55" i="24"/>
  <c r="I55" i="24"/>
  <c r="V53" i="24"/>
  <c r="W58" i="24" s="1"/>
  <c r="W59" i="24" s="1"/>
  <c r="I53" i="24"/>
  <c r="V51" i="24"/>
  <c r="I51" i="24"/>
  <c r="I60" i="24" s="1"/>
  <c r="I49" i="24"/>
  <c r="I40" i="24"/>
  <c r="I32" i="24"/>
  <c r="I89" i="24" s="1"/>
  <c r="I23" i="24"/>
  <c r="I107" i="24"/>
  <c r="I16" i="24"/>
  <c r="I65" i="24" s="1"/>
  <c r="H132" i="20"/>
  <c r="G132" i="20"/>
  <c r="F132" i="20"/>
  <c r="E132" i="20"/>
  <c r="D132" i="20"/>
  <c r="C132" i="20"/>
  <c r="H131" i="20"/>
  <c r="G131" i="20"/>
  <c r="F131" i="20"/>
  <c r="E131" i="20"/>
  <c r="D131" i="20"/>
  <c r="C131" i="20"/>
  <c r="H130" i="20"/>
  <c r="G130" i="20"/>
  <c r="F130" i="20"/>
  <c r="E130" i="20"/>
  <c r="D130" i="20"/>
  <c r="C130" i="20"/>
  <c r="H129" i="20"/>
  <c r="G129" i="20"/>
  <c r="F129" i="20"/>
  <c r="E129" i="20"/>
  <c r="D129" i="20"/>
  <c r="C129" i="20"/>
  <c r="H128" i="20"/>
  <c r="G128" i="20"/>
  <c r="F128" i="20"/>
  <c r="E128" i="20"/>
  <c r="D128" i="20"/>
  <c r="C128" i="20"/>
  <c r="H127" i="20"/>
  <c r="G127" i="20"/>
  <c r="F127" i="20"/>
  <c r="E127" i="20"/>
  <c r="D127" i="20"/>
  <c r="C127" i="20"/>
  <c r="H126" i="20"/>
  <c r="G126" i="20"/>
  <c r="F126" i="20"/>
  <c r="E126" i="20"/>
  <c r="D126" i="20"/>
  <c r="C126" i="20"/>
  <c r="H125" i="20"/>
  <c r="G125" i="20"/>
  <c r="F125" i="20"/>
  <c r="E125" i="20"/>
  <c r="D125" i="20"/>
  <c r="C125" i="20"/>
  <c r="H124" i="20"/>
  <c r="G124" i="20"/>
  <c r="F124" i="20"/>
  <c r="E124" i="20"/>
  <c r="D124" i="20"/>
  <c r="C124" i="20"/>
  <c r="H123" i="20"/>
  <c r="G123" i="20"/>
  <c r="F123" i="20"/>
  <c r="E123" i="20"/>
  <c r="D123" i="20"/>
  <c r="C123" i="20"/>
  <c r="H122" i="20"/>
  <c r="G122" i="20"/>
  <c r="F122" i="20"/>
  <c r="E122" i="20"/>
  <c r="D122" i="20"/>
  <c r="C122" i="20"/>
  <c r="H121" i="20"/>
  <c r="G121" i="20"/>
  <c r="F121" i="20"/>
  <c r="E121" i="20"/>
  <c r="D121" i="20"/>
  <c r="C121" i="20"/>
  <c r="H120" i="20"/>
  <c r="G120" i="20"/>
  <c r="F120" i="20"/>
  <c r="E120" i="20"/>
  <c r="D120" i="20"/>
  <c r="C120" i="20"/>
  <c r="H119" i="20"/>
  <c r="G119" i="20"/>
  <c r="F119" i="20"/>
  <c r="E119" i="20"/>
  <c r="D119" i="20"/>
  <c r="C119" i="20"/>
  <c r="H118" i="20"/>
  <c r="G118" i="20"/>
  <c r="F118" i="20"/>
  <c r="E118" i="20"/>
  <c r="D118" i="20"/>
  <c r="C118" i="20"/>
  <c r="H117" i="20"/>
  <c r="G117" i="20"/>
  <c r="F117" i="20"/>
  <c r="E117" i="20"/>
  <c r="D117" i="20"/>
  <c r="C117" i="20"/>
  <c r="H116" i="20"/>
  <c r="G116" i="20"/>
  <c r="F116" i="20"/>
  <c r="E116" i="20"/>
  <c r="D116" i="20"/>
  <c r="C116" i="20"/>
  <c r="H115" i="20"/>
  <c r="G115" i="20"/>
  <c r="F115" i="20"/>
  <c r="E115" i="20"/>
  <c r="D115" i="20"/>
  <c r="C115" i="20"/>
  <c r="H114" i="20"/>
  <c r="G114" i="20"/>
  <c r="F114" i="20"/>
  <c r="E114" i="20"/>
  <c r="D114" i="20"/>
  <c r="C114" i="20"/>
  <c r="H113" i="20"/>
  <c r="G113" i="20"/>
  <c r="F113" i="20"/>
  <c r="E113" i="20"/>
  <c r="D113" i="20"/>
  <c r="C113" i="20"/>
  <c r="H112" i="20"/>
  <c r="G112" i="20"/>
  <c r="F112" i="20"/>
  <c r="E112" i="20"/>
  <c r="D112" i="20"/>
  <c r="C112" i="20"/>
  <c r="H111" i="20"/>
  <c r="G111" i="20"/>
  <c r="F111" i="20"/>
  <c r="E111" i="20"/>
  <c r="D111" i="20"/>
  <c r="C111" i="20"/>
  <c r="H110" i="20"/>
  <c r="G110" i="20"/>
  <c r="F110" i="20"/>
  <c r="E110" i="20"/>
  <c r="D110" i="20"/>
  <c r="C110" i="20"/>
  <c r="H109" i="20"/>
  <c r="G109" i="20"/>
  <c r="F109" i="20"/>
  <c r="E109" i="20"/>
  <c r="D109" i="20"/>
  <c r="C109" i="20"/>
  <c r="H108" i="20"/>
  <c r="G108" i="20"/>
  <c r="F108" i="20"/>
  <c r="E108" i="20"/>
  <c r="D108" i="20"/>
  <c r="C108" i="20"/>
  <c r="H107" i="20"/>
  <c r="G107" i="20"/>
  <c r="F107" i="20"/>
  <c r="E107" i="20"/>
  <c r="D107" i="20"/>
  <c r="C107" i="20"/>
  <c r="H106" i="20"/>
  <c r="G106" i="20"/>
  <c r="F106" i="20"/>
  <c r="E106" i="20"/>
  <c r="D106" i="20"/>
  <c r="C106" i="20"/>
  <c r="H105" i="20"/>
  <c r="G105" i="20"/>
  <c r="F105" i="20"/>
  <c r="E105" i="20"/>
  <c r="D105" i="20"/>
  <c r="C105" i="20"/>
  <c r="H104" i="20"/>
  <c r="G104" i="20"/>
  <c r="F104" i="20"/>
  <c r="E104" i="20"/>
  <c r="D104" i="20"/>
  <c r="C104" i="20"/>
  <c r="H103" i="20"/>
  <c r="G103" i="20"/>
  <c r="F103" i="20"/>
  <c r="E103" i="20"/>
  <c r="D103" i="20"/>
  <c r="C103" i="20"/>
  <c r="H102" i="20"/>
  <c r="G102" i="20"/>
  <c r="F102" i="20"/>
  <c r="E102" i="20"/>
  <c r="D102" i="20"/>
  <c r="C102" i="20"/>
  <c r="H101" i="20"/>
  <c r="G101" i="20"/>
  <c r="F101" i="20"/>
  <c r="E101" i="20"/>
  <c r="D101" i="20"/>
  <c r="C101" i="20"/>
  <c r="H100" i="20"/>
  <c r="G100" i="20"/>
  <c r="F100" i="20"/>
  <c r="E100" i="20"/>
  <c r="D100" i="20"/>
  <c r="C100" i="20"/>
  <c r="H99" i="20"/>
  <c r="G99" i="20"/>
  <c r="F99" i="20"/>
  <c r="E99" i="20"/>
  <c r="D99" i="20"/>
  <c r="C99" i="20"/>
  <c r="H98" i="20"/>
  <c r="G98" i="20"/>
  <c r="F98" i="20"/>
  <c r="E98" i="20"/>
  <c r="D98" i="20"/>
  <c r="C98" i="20"/>
  <c r="H97" i="20"/>
  <c r="G97" i="20"/>
  <c r="F97" i="20"/>
  <c r="E97" i="20"/>
  <c r="D97" i="20"/>
  <c r="C97" i="20"/>
  <c r="H96" i="20"/>
  <c r="G96" i="20"/>
  <c r="F96" i="20"/>
  <c r="E96" i="20"/>
  <c r="D96" i="20"/>
  <c r="C96" i="20"/>
  <c r="H95" i="20"/>
  <c r="G95" i="20"/>
  <c r="F95" i="20"/>
  <c r="E95" i="20"/>
  <c r="D95" i="20"/>
  <c r="C95" i="20"/>
  <c r="H94" i="20"/>
  <c r="G94" i="20"/>
  <c r="F94" i="20"/>
  <c r="E94" i="20"/>
  <c r="D94" i="20"/>
  <c r="C94" i="20"/>
  <c r="H93" i="20"/>
  <c r="G93" i="20"/>
  <c r="F93" i="20"/>
  <c r="E93" i="20"/>
  <c r="D93" i="20"/>
  <c r="C93" i="20"/>
  <c r="H92" i="20"/>
  <c r="G92" i="20"/>
  <c r="F92" i="20"/>
  <c r="E92" i="20"/>
  <c r="D92" i="20"/>
  <c r="C92" i="20"/>
  <c r="H91" i="20"/>
  <c r="G91" i="20"/>
  <c r="F91" i="20"/>
  <c r="E91" i="20"/>
  <c r="D91" i="20"/>
  <c r="C91" i="20"/>
  <c r="H90" i="20"/>
  <c r="G90" i="20"/>
  <c r="F90" i="20"/>
  <c r="E90" i="20"/>
  <c r="D90" i="20"/>
  <c r="C90" i="20"/>
  <c r="H89" i="20"/>
  <c r="G89" i="20"/>
  <c r="F89" i="20"/>
  <c r="E89" i="20"/>
  <c r="D89" i="20"/>
  <c r="C89" i="20"/>
  <c r="H88" i="20"/>
  <c r="G88" i="20"/>
  <c r="F88" i="20"/>
  <c r="E88" i="20"/>
  <c r="D88" i="20"/>
  <c r="C88" i="20"/>
  <c r="H87" i="20"/>
  <c r="G87" i="20"/>
  <c r="F87" i="20"/>
  <c r="E87" i="20"/>
  <c r="D87" i="20"/>
  <c r="C87" i="20"/>
  <c r="H86" i="20"/>
  <c r="G86" i="20"/>
  <c r="F86" i="20"/>
  <c r="E86" i="20"/>
  <c r="D86" i="20"/>
  <c r="C86" i="20"/>
  <c r="H85" i="20"/>
  <c r="G85" i="20"/>
  <c r="F85" i="20"/>
  <c r="E85" i="20"/>
  <c r="D85" i="20"/>
  <c r="C85" i="20"/>
  <c r="H84" i="20"/>
  <c r="G84" i="20"/>
  <c r="F84" i="20"/>
  <c r="E84" i="20"/>
  <c r="D84" i="20"/>
  <c r="C84" i="20"/>
  <c r="H81" i="20"/>
  <c r="G81" i="20"/>
  <c r="F81" i="20"/>
  <c r="E81" i="20"/>
  <c r="D81" i="20"/>
  <c r="C81" i="20"/>
  <c r="H80" i="20"/>
  <c r="G80" i="20"/>
  <c r="F80" i="20"/>
  <c r="E80" i="20"/>
  <c r="D80" i="20"/>
  <c r="C80" i="20"/>
  <c r="H79" i="20"/>
  <c r="G79" i="20"/>
  <c r="F79" i="20"/>
  <c r="E79" i="20"/>
  <c r="D79" i="20"/>
  <c r="C79" i="20"/>
  <c r="H78" i="20"/>
  <c r="G78" i="20"/>
  <c r="F78" i="20"/>
  <c r="E78" i="20"/>
  <c r="D78" i="20"/>
  <c r="C78" i="20"/>
  <c r="H77" i="20"/>
  <c r="G77" i="20"/>
  <c r="F77" i="20"/>
  <c r="E77" i="20"/>
  <c r="D77" i="20"/>
  <c r="C77" i="20"/>
  <c r="V58" i="24"/>
  <c r="V59" i="24"/>
  <c r="K107" i="24" l="1"/>
  <c r="K97" i="24"/>
  <c r="K89" i="24"/>
  <c r="K82" i="24"/>
  <c r="K118" i="24"/>
  <c r="K126" i="24"/>
  <c r="K93" i="24"/>
  <c r="K112" i="24"/>
  <c r="I77" i="24"/>
  <c r="G52" i="38"/>
  <c r="E52" i="38"/>
  <c r="D52" i="38"/>
  <c r="F52" i="38"/>
  <c r="G51" i="38"/>
  <c r="G49" i="38"/>
  <c r="F137" i="24" l="1"/>
  <c r="K77" i="24"/>
  <c r="J137" i="24" l="1"/>
  <c r="F138"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valle</author>
  </authors>
  <commentList>
    <comment ref="D18" authorId="0" shapeId="0" xr:uid="{00000000-0006-0000-0700-000001000000}">
      <text>
        <r>
          <rPr>
            <b/>
            <sz val="8"/>
            <color indexed="81"/>
            <rFont val="Tahoma"/>
            <family val="2"/>
          </rPr>
          <t>valle:</t>
        </r>
        <r>
          <rPr>
            <sz val="8"/>
            <color indexed="81"/>
            <rFont val="Tahoma"/>
            <family val="2"/>
          </rPr>
          <t xml:space="preserve">
polynet.dk/lenau/niki_bey_phd_thesis.pdf
</t>
        </r>
      </text>
    </comment>
    <comment ref="F18" authorId="0" shapeId="0" xr:uid="{00000000-0006-0000-0700-000002000000}">
      <text>
        <r>
          <rPr>
            <b/>
            <sz val="8"/>
            <color indexed="81"/>
            <rFont val="Tahoma"/>
            <family val="2"/>
          </rPr>
          <t>valle:</t>
        </r>
        <r>
          <rPr>
            <sz val="8"/>
            <color indexed="81"/>
            <rFont val="Tahoma"/>
            <family val="2"/>
          </rPr>
          <t xml:space="preserve">
polynet.dk/lenau/niki_bey_phd_thesis.pdf
</t>
        </r>
      </text>
    </comment>
    <comment ref="G18" authorId="0" shapeId="0" xr:uid="{00000000-0006-0000-0700-000003000000}">
      <text>
        <r>
          <rPr>
            <b/>
            <sz val="8"/>
            <color indexed="81"/>
            <rFont val="Tahoma"/>
            <family val="2"/>
          </rPr>
          <t>valle:</t>
        </r>
        <r>
          <rPr>
            <sz val="8"/>
            <color indexed="81"/>
            <rFont val="Tahoma"/>
            <family val="2"/>
          </rPr>
          <t xml:space="preserve">
polynet.dk/lenau/niki_bey_phd_thesis.pdf
</t>
        </r>
      </text>
    </comment>
    <comment ref="H18" authorId="0" shapeId="0" xr:uid="{00000000-0006-0000-0700-000004000000}">
      <text>
        <r>
          <rPr>
            <b/>
            <sz val="8"/>
            <color indexed="81"/>
            <rFont val="Tahoma"/>
            <family val="2"/>
          </rPr>
          <t>valle:</t>
        </r>
        <r>
          <rPr>
            <sz val="8"/>
            <color indexed="81"/>
            <rFont val="Tahoma"/>
            <family val="2"/>
          </rPr>
          <t xml:space="preserve">
polynet.dk/lenau/niki_bey_phd_thesis.pdf
</t>
        </r>
      </text>
    </comment>
    <comment ref="G24" authorId="0" shapeId="0" xr:uid="{00000000-0006-0000-0700-000005000000}">
      <text>
        <r>
          <rPr>
            <b/>
            <sz val="8"/>
            <color indexed="81"/>
            <rFont val="Tahoma"/>
            <family val="2"/>
          </rPr>
          <t>valle:</t>
        </r>
        <r>
          <rPr>
            <sz val="8"/>
            <color indexed="81"/>
            <rFont val="Tahoma"/>
            <family val="2"/>
          </rPr>
          <t xml:space="preserve">
m3/person
</t>
        </r>
      </text>
    </comment>
    <comment ref="G29" authorId="0" shapeId="0" xr:uid="{00000000-0006-0000-0700-000006000000}">
      <text>
        <r>
          <rPr>
            <b/>
            <sz val="8"/>
            <color indexed="81"/>
            <rFont val="Tahoma"/>
            <family val="2"/>
          </rPr>
          <t>valle:</t>
        </r>
        <r>
          <rPr>
            <sz val="8"/>
            <color indexed="81"/>
            <rFont val="Tahoma"/>
            <family val="2"/>
          </rPr>
          <t xml:space="preserve">
67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valle</author>
  </authors>
  <commentList>
    <comment ref="B38" authorId="0" shapeId="0" xr:uid="{00000000-0006-0000-0800-000001000000}">
      <text>
        <r>
          <rPr>
            <b/>
            <sz val="8"/>
            <color indexed="81"/>
            <rFont val="Tahoma"/>
            <family val="2"/>
          </rPr>
          <t>valle:</t>
        </r>
        <r>
          <rPr>
            <sz val="8"/>
            <color indexed="81"/>
            <rFont val="Tahoma"/>
            <family val="2"/>
          </rPr>
          <t xml:space="preserve">
Baseret på opløsningsmiddel
</t>
        </r>
      </text>
    </comment>
    <comment ref="B42" authorId="0" shapeId="0" xr:uid="{00000000-0006-0000-0800-000002000000}">
      <text>
        <r>
          <rPr>
            <b/>
            <sz val="8"/>
            <color indexed="81"/>
            <rFont val="Tahoma"/>
            <family val="2"/>
          </rPr>
          <t>valle:</t>
        </r>
        <r>
          <rPr>
            <sz val="8"/>
            <color indexed="81"/>
            <rFont val="Tahoma"/>
            <family val="2"/>
          </rPr>
          <t xml:space="preserve">
Baseret på opløsningsmiddel</t>
        </r>
      </text>
    </comment>
    <comment ref="C48" authorId="0" shapeId="0" xr:uid="{00000000-0006-0000-0800-000003000000}">
      <text>
        <r>
          <rPr>
            <b/>
            <sz val="8"/>
            <color indexed="81"/>
            <rFont val="Tahoma"/>
            <family val="2"/>
          </rPr>
          <t>valle:</t>
        </r>
        <r>
          <rPr>
            <sz val="8"/>
            <color indexed="81"/>
            <rFont val="Tahoma"/>
            <family val="2"/>
          </rPr>
          <t xml:space="preserve">
120 Retn. L. f. </t>
        </r>
      </text>
    </comment>
    <comment ref="C76" authorId="0" shapeId="0" xr:uid="{00000000-0006-0000-0800-000004000000}">
      <text>
        <r>
          <rPr>
            <b/>
            <sz val="8"/>
            <color indexed="81"/>
            <rFont val="Tahoma"/>
            <family val="2"/>
          </rPr>
          <t>valle:</t>
        </r>
        <r>
          <rPr>
            <sz val="8"/>
            <color indexed="81"/>
            <rFont val="Tahoma"/>
            <family val="2"/>
          </rPr>
          <t xml:space="preserve">
95 MJ/kg, retn. Linjer for miljøvurdering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Valdemar Thorø</author>
    <author>valle</author>
  </authors>
  <commentList>
    <comment ref="F13" authorId="0" shapeId="0" xr:uid="{00000000-0006-0000-1100-000001000000}">
      <text>
        <r>
          <rPr>
            <b/>
            <sz val="9"/>
            <color indexed="81"/>
            <rFont val="Tahoma"/>
            <family val="2"/>
          </rPr>
          <t>Valdemar Thorø:</t>
        </r>
        <r>
          <rPr>
            <sz val="9"/>
            <color indexed="81"/>
            <rFont val="Tahoma"/>
            <family val="2"/>
          </rPr>
          <t xml:space="preserve">
</t>
        </r>
      </text>
    </comment>
    <comment ref="B82" authorId="1" shapeId="0" xr:uid="{00000000-0006-0000-1100-000002000000}">
      <text>
        <r>
          <rPr>
            <b/>
            <sz val="8"/>
            <color indexed="81"/>
            <rFont val="Tahoma"/>
            <family val="2"/>
          </rPr>
          <t>valle:</t>
        </r>
        <r>
          <rPr>
            <sz val="8"/>
            <color indexed="81"/>
            <rFont val="Tahoma"/>
            <family val="2"/>
          </rPr>
          <t xml:space="preserve">
(1) Brændselsforbrug gange brændværdi. I virkeligheden bruges der mere energi, da der også bruges energi til udvinding. De øvrige, udledninger, er data incl. emissioner fra udvinding af olie, raffinering og transport og fra udstødning, når lastbilen kører.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wongn</author>
  </authors>
  <commentList>
    <comment ref="B12" authorId="0" shapeId="0" xr:uid="{00000000-0006-0000-1200-000001000000}">
      <text>
        <r>
          <rPr>
            <b/>
            <sz val="8"/>
            <color indexed="81"/>
            <rFont val="Tahoma"/>
            <family val="2"/>
          </rPr>
          <t>For this column, enter fuel used annually for each fuel type - petrol, diesel and LPG</t>
        </r>
        <r>
          <rPr>
            <sz val="8"/>
            <color indexed="81"/>
            <rFont val="Tahoma"/>
            <family val="2"/>
          </rPr>
          <t xml:space="preserve">
</t>
        </r>
      </text>
    </comment>
    <comment ref="C12" authorId="0" shapeId="0" xr:uid="{00000000-0006-0000-1200-000002000000}">
      <text>
        <r>
          <rPr>
            <b/>
            <sz val="8"/>
            <color indexed="81"/>
            <rFont val="Tahoma"/>
            <family val="2"/>
          </rPr>
          <t>For this column, enter kilometres travelled annually for each fuel type - petrol, diesel and LPG</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m186417</author>
    <author>steve</author>
  </authors>
  <commentList>
    <comment ref="C63" authorId="0" shapeId="0" xr:uid="{00000000-0006-0000-1F00-000001000000}">
      <text>
        <r>
          <rPr>
            <sz val="9"/>
            <color indexed="81"/>
            <rFont val="Tahoma"/>
            <family val="2"/>
          </rPr>
          <t>Products of agriculture, horticulture, including living plants, unmanufactured tobacco; live animals and animal products</t>
        </r>
      </text>
    </comment>
    <comment ref="C64" authorId="0" shapeId="0" xr:uid="{00000000-0006-0000-1F00-000002000000}">
      <text>
        <r>
          <rPr>
            <sz val="9"/>
            <color indexed="81"/>
            <rFont val="Tahoma"/>
            <family val="2"/>
          </rPr>
          <t xml:space="preserve">Wood in the rough, other forestry products
</t>
        </r>
      </text>
    </comment>
    <comment ref="C65" authorId="0" shapeId="0" xr:uid="{00000000-0006-0000-1F00-000003000000}">
      <text>
        <r>
          <rPr>
            <sz val="9"/>
            <color indexed="81"/>
            <rFont val="Tahoma"/>
            <family val="2"/>
          </rPr>
          <t xml:space="preserve">Aquatic animals, live, fresh or chilled, not prepared for consumption
</t>
        </r>
      </text>
    </comment>
    <comment ref="C70" authorId="0" shapeId="0" xr:uid="{00000000-0006-0000-1F00-000004000000}">
      <text>
        <r>
          <rPr>
            <sz val="9"/>
            <color indexed="81"/>
            <rFont val="Tahoma"/>
            <family val="2"/>
          </rPr>
          <t>Prepared meat, fish, fruit, vegetables etc; dairy products; beverages; oils and fats</t>
        </r>
      </text>
    </comment>
    <comment ref="C72" authorId="0" shapeId="0" xr:uid="{00000000-0006-0000-1F00-000005000000}">
      <text>
        <r>
          <rPr>
            <sz val="9"/>
            <color indexed="81"/>
            <rFont val="Tahoma"/>
            <family val="2"/>
          </rPr>
          <t>Yarn and thread, woven and tufted textile fabrics</t>
        </r>
      </text>
    </comment>
    <comment ref="C75" authorId="0" shapeId="0" xr:uid="{00000000-0006-0000-1F00-000006000000}">
      <text>
        <r>
          <rPr>
            <sz val="9"/>
            <color indexed="81"/>
            <rFont val="Tahoma"/>
            <family val="2"/>
          </rPr>
          <t xml:space="preserve">Include cork, straw and plaiting materials
</t>
        </r>
      </text>
    </comment>
    <comment ref="C78" authorId="1" shapeId="0" xr:uid="{00000000-0006-0000-1F00-000007000000}">
      <text>
        <r>
          <rPr>
            <sz val="9"/>
            <color indexed="81"/>
            <rFont val="Tahoma"/>
            <family val="2"/>
          </rPr>
          <t>Fuel oil and gas; lubricating oils. Petroleum gases and other gaseous hydrocarbons, except natural gas. Waste oil . Radioactive elements, isotopes and compounds; radioactive residues.  Fuel elements (cartridges), non-irradiated, for nuclear reactors.  Coke oven prods.</t>
        </r>
      </text>
    </comment>
    <comment ref="C79" authorId="1" shapeId="0" xr:uid="{00000000-0006-0000-1F00-000008000000}">
      <text>
        <r>
          <rPr>
            <sz val="9"/>
            <color indexed="81"/>
            <rFont val="Tahoma"/>
            <family val="2"/>
          </rPr>
          <t>Industrial gases., dyes, pigments.</t>
        </r>
      </text>
    </comment>
    <comment ref="C80" authorId="1" shapeId="0" xr:uid="{00000000-0006-0000-1F00-000009000000}">
      <text>
        <r>
          <rPr>
            <sz val="9"/>
            <color indexed="81"/>
            <rFont val="Tahoma"/>
            <family val="2"/>
          </rPr>
          <t>Chemical elements n.e.c.; inorganic acids and compounds. Metallic halogenates; hypochlorites, chlorates and perchlorates.</t>
        </r>
      </text>
    </comment>
    <comment ref="C81" authorId="1" shapeId="0" xr:uid="{00000000-0006-0000-1F00-00000A000000}">
      <text>
        <r>
          <rPr>
            <sz val="9"/>
            <color indexed="81"/>
            <rFont val="Tahoma"/>
            <family val="2"/>
          </rPr>
          <t>Hydrocarbons/derivatives. Alcohols, phenols, phenol-alcohols and halogenated/ sulphonated/nitrated/ nitrosated derivatives; industrial fatty alcohols. Industrial monocarboxylic fatty acids; carboxylic acids&amp; derivatives. Organic compounds with nitrogen functions. Organo-sulphur compounds and other organo-inorganic compounds; heterocyclic compounds n.e.c.. Ethers, organic peroxides, epoxides, acetals and hemiacetals; other organic compounds.</t>
        </r>
      </text>
    </comment>
    <comment ref="C84" authorId="1" shapeId="0" xr:uid="{00000000-0006-0000-1F00-00000B000000}">
      <text>
        <r>
          <rPr>
            <sz val="9"/>
            <color indexed="81"/>
            <rFont val="Tahoma"/>
            <family val="2"/>
          </rPr>
          <t>Pesticides and other agro-chemical products.</t>
        </r>
      </text>
    </comment>
    <comment ref="C86" authorId="1" shapeId="0" xr:uid="{00000000-0006-0000-1F00-00000C000000}">
      <text>
        <r>
          <rPr>
            <sz val="9"/>
            <color indexed="81"/>
            <rFont val="Tahoma"/>
            <family val="2"/>
          </rPr>
          <t>Basic pharmaceutical products. Pharmaceutical preparations.</t>
        </r>
      </text>
    </comment>
    <comment ref="C88" authorId="1" shapeId="0" xr:uid="{00000000-0006-0000-1F00-00000D000000}">
      <text>
        <r>
          <rPr>
            <sz val="9"/>
            <color indexed="81"/>
            <rFont val="Tahoma"/>
            <family val="2"/>
          </rPr>
          <t>Explosives, glues, gelatines, essential oils, photo chemicals, others nec.</t>
        </r>
      </text>
    </comment>
    <comment ref="C89" authorId="1" shapeId="0" xr:uid="{00000000-0006-0000-1F00-00000E000000}">
      <text>
        <r>
          <rPr>
            <sz val="9"/>
            <color indexed="81"/>
            <rFont val="Tahoma"/>
            <family val="2"/>
          </rPr>
          <t>Synthetic fibres. Cellulosic and other artificial fibres.  Waste of man-made fibres.</t>
        </r>
      </text>
    </comment>
    <comment ref="C93" authorId="1" shapeId="0" xr:uid="{00000000-0006-0000-1F00-00000F000000}">
      <text>
        <r>
          <rPr>
            <sz val="9"/>
            <color indexed="81"/>
            <rFont val="Tahoma"/>
            <family val="2"/>
          </rPr>
          <t>Non-refractory ceramic goods other than for construction purposes; refractory ceramic products. Ceramic tiles and flags</t>
        </r>
      </text>
    </comment>
    <comment ref="C94" authorId="1" shapeId="0" xr:uid="{00000000-0006-0000-1F00-000010000000}">
      <text>
        <r>
          <rPr>
            <sz val="9"/>
            <color indexed="81"/>
            <rFont val="Tahoma"/>
            <family val="2"/>
          </rPr>
          <t>Bricks, tiles and construction products, in baked clay</t>
        </r>
      </text>
    </comment>
    <comment ref="C96" authorId="1" shapeId="0" xr:uid="{00000000-0006-0000-1F00-000011000000}">
      <text>
        <r>
          <rPr>
            <sz val="9"/>
            <color indexed="81"/>
            <rFont val="Tahoma"/>
            <family val="2"/>
          </rPr>
          <t>Articles of concrete, plaster and cement . Cut, shaped and finished ornamental and building stone and articles thereof. Other non-metallic mineral products</t>
        </r>
      </text>
    </comment>
    <comment ref="C97" authorId="1" shapeId="0" xr:uid="{00000000-0006-0000-1F00-000012000000}">
      <text>
        <r>
          <rPr>
            <sz val="9"/>
            <color indexed="81"/>
            <rFont val="Tahoma"/>
            <family val="2"/>
          </rPr>
          <t>Basic iron and steel and ferro-alloys. Tubes.</t>
        </r>
      </text>
    </comment>
    <comment ref="C98" authorId="1" shapeId="0" xr:uid="{00000000-0006-0000-1F00-000013000000}">
      <text>
        <r>
          <rPr>
            <sz val="9"/>
            <color indexed="81"/>
            <rFont val="Tahoma"/>
            <family val="2"/>
          </rPr>
          <t>Precious metals. Aluminium and aluminium products. Lead, zinc, tin and products thereof. Copper and Nickel prods.</t>
        </r>
      </text>
    </comment>
    <comment ref="C99" authorId="1" shapeId="0" xr:uid="{00000000-0006-0000-1F00-000014000000}">
      <text>
        <r>
          <rPr>
            <sz val="9"/>
            <color indexed="81"/>
            <rFont val="Tahoma"/>
            <family val="2"/>
          </rPr>
          <t>Foundry work services. Casting of iron, steel, light metals, other non-ferrous.</t>
        </r>
      </text>
    </comment>
    <comment ref="C100" authorId="1" shapeId="0" xr:uid="{00000000-0006-0000-1F00-000015000000}">
      <text>
        <r>
          <rPr>
            <sz val="9"/>
            <color indexed="81"/>
            <rFont val="Tahoma"/>
            <family val="2"/>
          </rPr>
          <t>Structural metal products. Tanks, reservoirs and containers of metal; central heating radiators and boilers. Steam generators, except central heating hot water boilers. Forging, pressing, stamping and roll forming services of metal; powder metallurgy. Treatment and coating services of metal; general mechanical engineering services. Cutlery, tools and general hardware. Other fabricated prods.</t>
        </r>
      </text>
    </comment>
    <comment ref="C101" authorId="1" shapeId="0" xr:uid="{00000000-0006-0000-1F00-000016000000}">
      <text>
        <r>
          <rPr>
            <sz val="9"/>
            <color indexed="81"/>
            <rFont val="Tahoma"/>
            <family val="2"/>
          </rPr>
          <t xml:space="preserve">Machinery for the production and use of mechanical power, except aircraft, vehicle and cycle engines. Agricultural and forestry machinery. Weapons. Machine tools. Other special purpose. </t>
        </r>
      </text>
    </comment>
    <comment ref="C103" authorId="1" shapeId="0" xr:uid="{00000000-0006-0000-1F00-000017000000}">
      <text>
        <r>
          <rPr>
            <sz val="9"/>
            <color indexed="81"/>
            <rFont val="Tahoma"/>
            <family val="2"/>
          </rPr>
          <t>Electric motors, generators and transformers. Electricity distribution and control apparatus. Insulated wire and cable.  Accumulators, primary cells and primary batteries. Lighting equip.</t>
        </r>
      </text>
    </comment>
    <comment ref="C105" authorId="1" shapeId="0" xr:uid="{00000000-0006-0000-1F00-000018000000}">
      <text>
        <r>
          <rPr>
            <sz val="9"/>
            <color indexed="81"/>
            <rFont val="Tahoma"/>
            <family val="2"/>
          </rPr>
          <t>Medical, precision and optical instruments; watches and clocks.</t>
        </r>
      </text>
    </comment>
    <comment ref="C107" authorId="1" shapeId="0" xr:uid="{00000000-0006-0000-1F00-000019000000}">
      <text>
        <r>
          <rPr>
            <sz val="9"/>
            <color indexed="81"/>
            <rFont val="Tahoma"/>
            <family val="2"/>
          </rPr>
          <t>Ships, railway roll-stock, aircraft, spacecraft, motorcycles, cycles.</t>
        </r>
      </text>
    </comment>
    <comment ref="C108" authorId="1" shapeId="0" xr:uid="{00000000-0006-0000-1F00-00001A000000}">
      <text>
        <r>
          <rPr>
            <sz val="9"/>
            <color indexed="81"/>
            <rFont val="Tahoma"/>
            <family val="2"/>
          </rPr>
          <t>Furniture, musical, sports, games, secondary raw materials, shipbreaking.</t>
        </r>
      </text>
    </comment>
    <comment ref="C109" authorId="1" shapeId="0" xr:uid="{00000000-0006-0000-1F00-00001B000000}">
      <text>
        <r>
          <rPr>
            <sz val="9"/>
            <color indexed="81"/>
            <rFont val="Tahoma"/>
            <family val="2"/>
          </rPr>
          <t>Production and distribution services of electricity.</t>
        </r>
      </text>
    </comment>
    <comment ref="C110" authorId="1" shapeId="0" xr:uid="{00000000-0006-0000-1F00-00001C000000}">
      <text>
        <r>
          <rPr>
            <sz val="9"/>
            <color indexed="81"/>
            <rFont val="Tahoma"/>
            <family val="2"/>
          </rPr>
          <t>Manufactured gas and distribution services of gaseous fuels through mains. Steam and hot water supply services.</t>
        </r>
      </text>
    </comment>
    <comment ref="C111" authorId="1" shapeId="0" xr:uid="{00000000-0006-0000-1F00-00001D000000}">
      <text>
        <r>
          <rPr>
            <sz val="9"/>
            <color indexed="81"/>
            <rFont val="Tahoma"/>
            <family val="2"/>
          </rPr>
          <t>Collected and purified water; distribution services of water.</t>
        </r>
      </text>
    </comment>
    <comment ref="C113" authorId="1" shapeId="0" xr:uid="{00000000-0006-0000-1F00-00001E000000}">
      <text>
        <r>
          <rPr>
            <sz val="9"/>
            <color indexed="81"/>
            <rFont val="Tahoma"/>
            <family val="2"/>
          </rPr>
          <t>Trade, maintenance and repair services of motor vehicles and motorcycles; retail trade services of automotive fuel.</t>
        </r>
      </text>
    </comment>
    <comment ref="C121" authorId="1" shapeId="0" xr:uid="{00000000-0006-0000-1F00-00001F000000}">
      <text>
        <r>
          <rPr>
            <sz val="9"/>
            <color indexed="81"/>
            <rFont val="Tahoma"/>
            <family val="2"/>
          </rPr>
          <t xml:space="preserve">Cargo handling and storage services. Travel agency and tour operator services; tourist assistance services n.e.c.  Other transport supporting services. </t>
        </r>
      </text>
    </comment>
    <comment ref="C125" authorId="1" shapeId="0" xr:uid="{00000000-0006-0000-1F00-000020000000}">
      <text>
        <r>
          <rPr>
            <sz val="9"/>
            <color indexed="81"/>
            <rFont val="Tahoma"/>
            <family val="2"/>
          </rPr>
          <t>Services auxiliary to financial intermediation, insurance and pension funding</t>
        </r>
      </text>
    </comment>
    <comment ref="C129" authorId="1" shapeId="0" xr:uid="{00000000-0006-0000-1F00-000021000000}">
      <text>
        <r>
          <rPr>
            <sz val="9"/>
            <color indexed="81"/>
            <rFont val="Tahoma"/>
            <family val="2"/>
          </rPr>
          <t>Research and experimental development services on natural and social sciences, humanities and engineering.</t>
        </r>
      </text>
    </comment>
    <comment ref="C130" authorId="1" shapeId="0" xr:uid="{00000000-0006-0000-1F00-000022000000}">
      <text>
        <r>
          <rPr>
            <sz val="9"/>
            <color indexed="81"/>
            <rFont val="Tahoma"/>
            <family val="2"/>
          </rPr>
          <t>Legal, accounting, book-keeping and auditing services; tax consultancy services; market research and public opinion polling services; business and management consultancy services; holdings services. Architectural, engineering and related. Technical testing and analysis. Advertising. Security. Recruitment &amp; HR. Industrial cleaning.</t>
        </r>
      </text>
    </comment>
    <comment ref="C133" authorId="1" shapeId="0" xr:uid="{00000000-0006-0000-1F00-000023000000}">
      <text>
        <r>
          <rPr>
            <sz val="9"/>
            <color indexed="81"/>
            <rFont val="Tahoma"/>
            <family val="2"/>
          </rPr>
          <t>Human health. Veterinary services. Social work.</t>
        </r>
      </text>
    </comment>
    <comment ref="C134" authorId="1" shapeId="0" xr:uid="{00000000-0006-0000-1F00-000024000000}">
      <text>
        <r>
          <rPr>
            <sz val="9"/>
            <color indexed="81"/>
            <rFont val="Tahoma"/>
            <family val="2"/>
          </rPr>
          <t>Sewage and refuse disposal services, sanitation and similar services</t>
        </r>
      </text>
    </comment>
    <comment ref="C136" authorId="1" shapeId="0" xr:uid="{00000000-0006-0000-1F00-000025000000}">
      <text>
        <r>
          <rPr>
            <sz val="9"/>
            <color indexed="81"/>
            <rFont val="Tahoma"/>
            <family val="2"/>
          </rPr>
          <t>Motion picture and video services. Radio and TV services. Library, archives, museums and other cultural services. Sporting and other entertainment / recreational services.</t>
        </r>
      </text>
    </comment>
    <comment ref="C137" authorId="1" shapeId="0" xr:uid="{00000000-0006-0000-1F00-000026000000}">
      <text>
        <r>
          <rPr>
            <sz val="9"/>
            <color indexed="81"/>
            <rFont val="Tahoma"/>
            <family val="2"/>
          </rPr>
          <t xml:space="preserve">Washing and dry cleaning services. Hairdressing and other beauty treatment services. Funeral and related services. Physical wellbeing services.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Bradford Hurley</author>
    <author>Lauren Pederson</author>
    <author>ICF</author>
  </authors>
  <commentList>
    <comment ref="N16" authorId="0" shapeId="0" xr:uid="{00000000-0006-0000-2000-000001000000}">
      <text>
        <r>
          <rPr>
            <sz val="8"/>
            <color indexed="81"/>
            <rFont val="Tahoma"/>
            <family val="2"/>
          </rPr>
          <t>Source: U.S. Environmental  Protection Agency, 2005, Emission Facts: Greenhouse Gas Emissions from a Typical Passenger Vehicle</t>
        </r>
      </text>
    </comment>
    <comment ref="N17" authorId="0" shapeId="0" xr:uid="{00000000-0006-0000-2000-000002000000}">
      <text>
        <r>
          <rPr>
            <sz val="8"/>
            <color indexed="81"/>
            <rFont val="Tahoma"/>
            <family val="2"/>
          </rPr>
          <t>Source: U.S. Environmental Protection Agency, 2005, Emission Facts: Greenhouse Gas Emissions from a Typical Passenger Vehicle</t>
        </r>
      </text>
    </comment>
    <comment ref="N24" authorId="0" shapeId="0" xr:uid="{00000000-0006-0000-2000-000003000000}">
      <text>
        <r>
          <rPr>
            <sz val="8"/>
            <color indexed="81"/>
            <rFont val="Tahoma"/>
            <family val="2"/>
          </rPr>
          <t>Source: Energy Information Administration. Electric Power Annual 2005, Table 5.1 (October 2006)</t>
        </r>
      </text>
    </comment>
    <comment ref="N32" authorId="0" shapeId="0" xr:uid="{00000000-0006-0000-2000-000004000000}">
      <text>
        <r>
          <rPr>
            <sz val="8"/>
            <color indexed="81"/>
            <rFont val="Tahoma"/>
            <family val="2"/>
          </rPr>
          <t xml:space="preserve">Source: Energy Information Administration: Natural Gas Annual </t>
        </r>
      </text>
    </comment>
    <comment ref="N33" authorId="0" shapeId="0" xr:uid="{00000000-0006-0000-2000-000005000000}">
      <text>
        <r>
          <rPr>
            <sz val="8"/>
            <color indexed="81"/>
            <rFont val="Tahoma"/>
            <family val="2"/>
          </rPr>
          <t>Source: U.S. EPA, Inventory of U.S. Greenhouse Gas Emissions and Sinks: 1990-2004, Annex 2,Table A30</t>
        </r>
      </text>
    </comment>
    <comment ref="N40" authorId="0" shapeId="0" xr:uid="{00000000-0006-0000-2000-000006000000}">
      <text>
        <r>
          <rPr>
            <sz val="8"/>
            <color indexed="81"/>
            <rFont val="Tahoma"/>
            <family val="2"/>
          </rPr>
          <t>Source: Energy Information Administration: US No. 2 Distillate Prices by Sales Type, Table 15.</t>
        </r>
      </text>
    </comment>
    <comment ref="N41" authorId="0" shapeId="0" xr:uid="{00000000-0006-0000-2000-000007000000}">
      <text>
        <r>
          <rPr>
            <sz val="8"/>
            <color indexed="81"/>
            <rFont val="Tahoma"/>
            <family val="2"/>
          </rPr>
          <t>Source: U.S. EPA, Inventory of U.S. Greenhouse Gas Emissions and Sinks: 1990-2004, Annex 2, Table A30</t>
        </r>
      </text>
    </comment>
    <comment ref="N49" authorId="1" shapeId="0" xr:uid="{00000000-0006-0000-2000-000008000000}">
      <text>
        <r>
          <rPr>
            <sz val="8"/>
            <color indexed="81"/>
            <rFont val="Tahoma"/>
            <family val="2"/>
          </rPr>
          <t>Source: Based on EPA's  Inventory of U.S. Greenhouse Gas Emissions and Sinks 1990-2004, Chapter 8, Table 8-3.</t>
        </r>
      </text>
    </comment>
    <comment ref="N51" authorId="1" shapeId="0" xr:uid="{00000000-0006-0000-2000-000009000000}">
      <text>
        <r>
          <rPr>
            <sz val="8"/>
            <color indexed="81"/>
            <rFont val="Tahoma"/>
            <family val="2"/>
          </rPr>
          <t xml:space="preserve">Emission Factor for Newspaper </t>
        </r>
        <r>
          <rPr>
            <sz val="8"/>
            <color indexed="81"/>
            <rFont val="Tahoma"/>
            <family val="2"/>
          </rPr>
          <t xml:space="preserve">Source: U.S. Environmental Protection Agency, 2006. Solid Waste Management and Greenhouse Gases: A Life-Cycle Assessment of Emissions and Sinks, EPA530-R-06-004. </t>
        </r>
      </text>
    </comment>
    <comment ref="N53" authorId="1" shapeId="0" xr:uid="{00000000-0006-0000-2000-00000A000000}">
      <text>
        <r>
          <rPr>
            <sz val="8"/>
            <color indexed="81"/>
            <rFont val="Tahoma"/>
            <family val="2"/>
          </rPr>
          <t xml:space="preserve">Emission Factor for Glass </t>
        </r>
        <r>
          <rPr>
            <sz val="8"/>
            <color indexed="81"/>
            <rFont val="Tahoma"/>
            <family val="2"/>
          </rPr>
          <t xml:space="preserve">Source: U.S. Environmental Protection Agency, 2006. Solid Waste Management and Greenhouse Gases: A Life-Cycle Assessment of Emissions and Sinks, EPA530-R-06-004. </t>
        </r>
      </text>
    </comment>
    <comment ref="N55" authorId="1" shapeId="0" xr:uid="{00000000-0006-0000-2000-00000B000000}">
      <text>
        <r>
          <rPr>
            <sz val="8"/>
            <color indexed="81"/>
            <rFont val="Tahoma"/>
            <family val="2"/>
          </rPr>
          <t xml:space="preserve">Emission Factor for Plastic </t>
        </r>
        <r>
          <rPr>
            <sz val="8"/>
            <color indexed="81"/>
            <rFont val="Tahoma"/>
            <family val="2"/>
          </rPr>
          <t xml:space="preserve">Source: U.S. Environmental Protection Agency, 2006. Solid Waste Management and Greenhouse Gases: A Life-Cycle Assessment of Emissions and Sinks, EPA530-R-06-004. </t>
        </r>
      </text>
    </comment>
    <comment ref="N57" authorId="1" shapeId="0" xr:uid="{00000000-0006-0000-2000-00000C000000}">
      <text>
        <r>
          <rPr>
            <sz val="8"/>
            <color indexed="81"/>
            <rFont val="Tahoma"/>
            <family val="2"/>
          </rPr>
          <t xml:space="preserve">Emission Factor for Aluminum and Steel Cans </t>
        </r>
        <r>
          <rPr>
            <sz val="8"/>
            <color indexed="81"/>
            <rFont val="Tahoma"/>
            <family val="2"/>
          </rPr>
          <t xml:space="preserve">Source: U.S. Environmental Protection Agency, 2006. Solid Waste Management and Greenhouse Gases: A Life-Cycle Assessment of Emissions and Sinks, EPA530-R-06-004. </t>
        </r>
      </text>
    </comment>
    <comment ref="N77" authorId="0" shapeId="0" xr:uid="{00000000-0006-0000-2000-00000D000000}">
      <text>
        <r>
          <rPr>
            <sz val="8"/>
            <color indexed="81"/>
            <rFont val="Tahoma"/>
            <family val="2"/>
          </rPr>
          <t>Source: U.S. Environmental Protection Agency, 2005, Emission Facts: Greenhouse Gas Emissions from a Typical Passenger Vehicle</t>
        </r>
      </text>
    </comment>
    <comment ref="N78" authorId="0" shapeId="0" xr:uid="{00000000-0006-0000-2000-00000E000000}">
      <text>
        <r>
          <rPr>
            <sz val="8"/>
            <color indexed="81"/>
            <rFont val="Tahoma"/>
            <family val="2"/>
          </rPr>
          <t>Source: U.S. Environmental Protection Agency, 2005, Emission Facts: Greenhouse Gas Emissions from a Typical Passenger Vehicle</t>
        </r>
      </text>
    </comment>
    <comment ref="N82" authorId="0" shapeId="0" xr:uid="{00000000-0006-0000-2000-00000F000000}">
      <text>
        <r>
          <rPr>
            <sz val="8"/>
            <color indexed="81"/>
            <rFont val="Tahoma"/>
            <family val="2"/>
          </rPr>
          <t>Source: U.S. Environmental Protection Agency, 2005, Emission Facts: Greenhouse Gas Emissions from a Typical Passenger Vehicle</t>
        </r>
      </text>
    </comment>
    <comment ref="N83" authorId="0" shapeId="0" xr:uid="{00000000-0006-0000-2000-000010000000}">
      <text>
        <r>
          <rPr>
            <sz val="8"/>
            <color indexed="81"/>
            <rFont val="Tahoma"/>
            <family val="2"/>
          </rPr>
          <t>Source: U.S. Environmental Protection Agency, 2005, Emission Facts: Greenhouse Gas Emissions from a Typical Passenger Vehicle</t>
        </r>
      </text>
    </comment>
    <comment ref="N89" authorId="0" shapeId="0" xr:uid="{00000000-0006-0000-2000-000011000000}">
      <text>
        <r>
          <rPr>
            <sz val="8"/>
            <color indexed="81"/>
            <rFont val="Tahoma"/>
            <family val="2"/>
          </rPr>
          <t xml:space="preserve">Source:  U.S. DOE, 2005: A Consumer's Guide to Energy Efficiency and Renewable Energy: Thermostats and Control Systems. Assumes thermostat is turned down for 8 hours each night November through March.
</t>
        </r>
      </text>
    </comment>
    <comment ref="N93" authorId="0" shapeId="0" xr:uid="{00000000-0006-0000-2000-000012000000}">
      <text>
        <r>
          <rPr>
            <sz val="8"/>
            <color indexed="81"/>
            <rFont val="Tahoma"/>
            <family val="2"/>
          </rPr>
          <t>Source: Energy Information Administration. Electric Power Annual 2005, Table 5.1 (October, 2006)</t>
        </r>
        <r>
          <rPr>
            <sz val="8"/>
            <color indexed="81"/>
            <rFont val="Tahoma"/>
            <family val="2"/>
          </rPr>
          <t xml:space="preserve">
</t>
        </r>
      </text>
    </comment>
    <comment ref="N94" authorId="0" shapeId="0" xr:uid="{00000000-0006-0000-2000-000013000000}">
      <text>
        <r>
          <rPr>
            <sz val="8"/>
            <color indexed="81"/>
            <rFont val="Tahoma"/>
            <family val="2"/>
          </rPr>
          <t xml:space="preserve">
Source: ENERGY STAR</t>
        </r>
      </text>
    </comment>
    <comment ref="N97" authorId="0" shapeId="0" xr:uid="{00000000-0006-0000-2000-000014000000}">
      <text>
        <r>
          <rPr>
            <sz val="8"/>
            <color indexed="81"/>
            <rFont val="Tahoma"/>
            <family val="2"/>
          </rPr>
          <t>Source: Energy Information Administration. Electric Power Annual 2005, Table 5.1  (October, 2006)</t>
        </r>
      </text>
    </comment>
    <comment ref="N98" authorId="0" shapeId="0" xr:uid="{00000000-0006-0000-2000-000015000000}">
      <text>
        <r>
          <rPr>
            <sz val="8"/>
            <color indexed="81"/>
            <rFont val="Tahoma"/>
            <family val="2"/>
          </rPr>
          <t>Source: ENERGY STAR</t>
        </r>
      </text>
    </comment>
    <comment ref="N99" authorId="0" shapeId="0" xr:uid="{00000000-0006-0000-2000-000016000000}">
      <text>
        <r>
          <rPr>
            <sz val="8"/>
            <color indexed="81"/>
            <rFont val="Tahoma"/>
            <family val="2"/>
          </rPr>
          <t>Source: ENERGY STAR</t>
        </r>
      </text>
    </comment>
    <comment ref="N100" authorId="0" shapeId="0" xr:uid="{00000000-0006-0000-2000-000017000000}">
      <text>
        <r>
          <rPr>
            <sz val="8"/>
            <color indexed="81"/>
            <rFont val="Tahoma"/>
            <family val="2"/>
          </rPr>
          <t>Source: ENERGY STAR</t>
        </r>
      </text>
    </comment>
    <comment ref="N102" authorId="0" shapeId="0" xr:uid="{00000000-0006-0000-2000-000018000000}">
      <text>
        <r>
          <rPr>
            <sz val="8"/>
            <color indexed="81"/>
            <rFont val="Tahoma"/>
            <family val="2"/>
          </rPr>
          <t>Source: ENERGY STAR</t>
        </r>
      </text>
    </comment>
    <comment ref="N103" authorId="0" shapeId="0" xr:uid="{00000000-0006-0000-2000-000019000000}">
      <text>
        <r>
          <rPr>
            <sz val="8"/>
            <color indexed="81"/>
            <rFont val="Tahoma"/>
            <family val="2"/>
          </rPr>
          <t>Source: ENERGY STAR</t>
        </r>
      </text>
    </comment>
    <comment ref="N104" authorId="0" shapeId="0" xr:uid="{00000000-0006-0000-2000-00001A000000}">
      <text>
        <r>
          <rPr>
            <sz val="8"/>
            <color indexed="81"/>
            <rFont val="Tahoma"/>
            <family val="2"/>
          </rPr>
          <t>Source: U.S. EPA, Inventory of U.S. Greenhouse Gas Emissions and Sinks: 1990-2004, Annex 2, Table A30.</t>
        </r>
      </text>
    </comment>
    <comment ref="N105" authorId="0" shapeId="0" xr:uid="{00000000-0006-0000-2000-00001B000000}">
      <text>
        <r>
          <rPr>
            <sz val="8"/>
            <color indexed="81"/>
            <rFont val="Tahoma"/>
            <family val="2"/>
          </rPr>
          <t>Source: U.S. EPA,  Inventory of U.S. Greenhouse Gas Emissions and Sinks: 1990-2004, Annex 2, Table A30</t>
        </r>
      </text>
    </comment>
    <comment ref="N107" authorId="0" shapeId="0" xr:uid="{00000000-0006-0000-2000-00001C000000}">
      <text>
        <r>
          <rPr>
            <sz val="8"/>
            <color indexed="81"/>
            <rFont val="Tahoma"/>
            <family val="2"/>
          </rPr>
          <t>Source: EIA 2001. End-use Consumption of Electricity</t>
        </r>
      </text>
    </comment>
    <comment ref="N108" authorId="0" shapeId="0" xr:uid="{00000000-0006-0000-2000-00001D000000}">
      <text>
        <r>
          <rPr>
            <sz val="8"/>
            <color indexed="81"/>
            <rFont val="Tahoma"/>
            <family val="2"/>
          </rPr>
          <t xml:space="preserve">Source: Parker, D., Mazzara, M., Sherwin, J.,  1996. "Monitored Energy Use Patterns In Low-Income Housing In A Hot And Humid Climate," Tenth Symposium on Improving Building Systems in Hot Humid Climates, Ft. Worth, TX, p. 316. Note that this publication assumes a 10 percent efficiency gain per 1 degree; we use 5 percent as a more conservative estimate.
</t>
        </r>
      </text>
    </comment>
    <comment ref="N109" authorId="0" shapeId="0" xr:uid="{00000000-0006-0000-2000-00001E000000}">
      <text>
        <r>
          <rPr>
            <sz val="8"/>
            <color indexed="81"/>
            <rFont val="Tahoma"/>
            <family val="2"/>
          </rPr>
          <t>Source: EIA 2001. End-use Consumption of Electricity</t>
        </r>
        <r>
          <rPr>
            <sz val="8"/>
            <color indexed="81"/>
            <rFont val="Tahoma"/>
            <family val="2"/>
          </rPr>
          <t xml:space="preserve">
</t>
        </r>
      </text>
    </comment>
    <comment ref="N111" authorId="0" shapeId="0" xr:uid="{00000000-0006-0000-2000-00001F000000}">
      <text>
        <r>
          <rPr>
            <sz val="8"/>
            <color indexed="81"/>
            <rFont val="Tahoma"/>
            <family val="2"/>
          </rPr>
          <t>Source: ENERGY STAR and ACEEE, Consumer Guide to Home Energy Savings</t>
        </r>
      </text>
    </comment>
    <comment ref="N112" authorId="0" shapeId="0" xr:uid="{00000000-0006-0000-2000-000020000000}">
      <text>
        <r>
          <rPr>
            <sz val="8"/>
            <color indexed="81"/>
            <rFont val="Tahoma"/>
            <family val="2"/>
          </rPr>
          <t>Source: ENERGY STAR and ACEEE Consumer Guide to Home Energy Savings</t>
        </r>
      </text>
    </comment>
    <comment ref="N113" authorId="0" shapeId="0" xr:uid="{00000000-0006-0000-2000-000021000000}">
      <text>
        <r>
          <rPr>
            <sz val="8"/>
            <color indexed="81"/>
            <rFont val="Tahoma"/>
            <family val="2"/>
          </rPr>
          <t>Source: U.S. EPA, Inventory of U.S. Greenhouse Gas Emissions and Sinks: 1990-2004, Annex 2, Table A30</t>
        </r>
      </text>
    </comment>
    <comment ref="N114" authorId="0" shapeId="0" xr:uid="{00000000-0006-0000-2000-000022000000}">
      <text>
        <r>
          <rPr>
            <sz val="8"/>
            <color indexed="81"/>
            <rFont val="Tahoma"/>
            <family val="2"/>
          </rPr>
          <t>Source: U.S. EPA, Inventory of U.S. Greenhouse Gas Emissions and Sinks: 1990-2004,  Annex 2, Table A30</t>
        </r>
      </text>
    </comment>
    <comment ref="M118" authorId="2" shapeId="0" xr:uid="{00000000-0006-0000-2000-000023000000}">
      <text>
        <r>
          <rPr>
            <sz val="8"/>
            <color indexed="81"/>
            <rFont val="Tahoma"/>
            <family val="2"/>
          </rPr>
          <t>Only those materials that your household doesn't currently recycled are summed.</t>
        </r>
      </text>
    </comment>
    <comment ref="N118" authorId="0" shapeId="0" xr:uid="{00000000-0006-0000-2000-000024000000}">
      <text>
        <r>
          <rPr>
            <sz val="8"/>
            <color indexed="81"/>
            <rFont val="Tahoma"/>
            <family val="2"/>
          </rPr>
          <t xml:space="preserve">Emission Factor for Newspaper Source: U.S. Environmental Protection Agency, 2006. Solid Waste Management and Greenhouse Gases: A Life-Cycle Assessment of Emissions and Sinks, EPA530-R-06-004. </t>
        </r>
      </text>
    </comment>
    <comment ref="N119" authorId="0" shapeId="0" xr:uid="{00000000-0006-0000-2000-000025000000}">
      <text>
        <r>
          <rPr>
            <sz val="8"/>
            <color indexed="81"/>
            <rFont val="Tahoma"/>
            <family val="2"/>
          </rPr>
          <t xml:space="preserve">Emission Factor for Glass Source: U.S. Environmental Protection Agency, 2006. Solid Waste Management and Greenhouse Gases: A Life-Cycle Assessment of Emissions and Sinks, EPA530-R-06-004. </t>
        </r>
      </text>
    </comment>
    <comment ref="N120" authorId="0" shapeId="0" xr:uid="{00000000-0006-0000-2000-000026000000}">
      <text>
        <r>
          <rPr>
            <sz val="8"/>
            <color indexed="81"/>
            <rFont val="Tahoma"/>
            <family val="2"/>
          </rPr>
          <t xml:space="preserve">Emission Factor for Plastic Source: U.S. Environmental Protection Agency, 2006. Solid Waste Management and Greenhouse Gases: A Life-Cycle Assessment of Emissions and Sinks, EPA530-R-06-004. </t>
        </r>
      </text>
    </comment>
    <comment ref="N121" authorId="0" shapeId="0" xr:uid="{00000000-0006-0000-2000-000027000000}">
      <text>
        <r>
          <rPr>
            <sz val="8"/>
            <color indexed="81"/>
            <rFont val="Tahoma"/>
            <family val="2"/>
          </rPr>
          <t xml:space="preserve">Emission Factor for Aluminum and Steel Cans Source: U.S. Environmental Protection Agency, 2006. Solid Waste Management and Greenhouse Gases: A Life-Cycle Assessment of Emissions and Sinks, EPA530-R-06-004. </t>
        </r>
      </text>
    </comment>
    <comment ref="N126" authorId="1" shapeId="0" xr:uid="{00000000-0006-0000-2000-000028000000}">
      <text>
        <r>
          <rPr>
            <sz val="8"/>
            <color indexed="81"/>
            <rFont val="Tahoma"/>
            <family val="2"/>
          </rPr>
          <t xml:space="preserve">Emission Factor for Magazines </t>
        </r>
        <r>
          <rPr>
            <sz val="8"/>
            <color indexed="81"/>
            <rFont val="Tahoma"/>
            <family val="2"/>
          </rPr>
          <t xml:space="preserve">Source: U.S. Environmental Protection Agency, 2006. Solid Waste Management and Greenhouse Gases: A Life-Cycle Assessment of Emissions and Sinks, EPA530-R-06-004. </t>
        </r>
      </text>
    </comment>
  </commentList>
</comments>
</file>

<file path=xl/sharedStrings.xml><?xml version="1.0" encoding="utf-8"?>
<sst xmlns="http://schemas.openxmlformats.org/spreadsheetml/2006/main" count="4223" uniqueCount="2647">
  <si>
    <t>Olie</t>
  </si>
  <si>
    <t>Brændstoffer</t>
  </si>
  <si>
    <t>Stenkul</t>
  </si>
  <si>
    <t>Brunkul</t>
  </si>
  <si>
    <t>Årlig Global
Produktion</t>
  </si>
  <si>
    <t>(1000 ton )</t>
  </si>
  <si>
    <t>Enhed</t>
  </si>
  <si>
    <t>Kendte 
Reserver 1990</t>
  </si>
  <si>
    <t xml:space="preserve">Naturgas (mio. m3) </t>
  </si>
  <si>
    <t>Jern</t>
  </si>
  <si>
    <t>Aluminium</t>
  </si>
  <si>
    <t>Zink</t>
  </si>
  <si>
    <t>Kobber</t>
  </si>
  <si>
    <t>Nikkel</t>
  </si>
  <si>
    <t>Mangan</t>
  </si>
  <si>
    <t>Bly</t>
  </si>
  <si>
    <t>Tin</t>
  </si>
  <si>
    <t>Forsynings-
horisont</t>
  </si>
  <si>
    <t>År</t>
  </si>
  <si>
    <t>(Kg Pr person)</t>
  </si>
  <si>
    <t>Sølv</t>
  </si>
  <si>
    <t>Guld</t>
  </si>
  <si>
    <t>Palladium</t>
  </si>
  <si>
    <t>Tantal</t>
  </si>
  <si>
    <t>Antimon</t>
  </si>
  <si>
    <t>Kobalt</t>
  </si>
  <si>
    <t>Molybdæn</t>
  </si>
  <si>
    <t>Cadmium</t>
  </si>
  <si>
    <t>Berylium</t>
  </si>
  <si>
    <t>Kviksølv</t>
  </si>
  <si>
    <t>Platin</t>
  </si>
  <si>
    <t>Årligt Global forbrug</t>
  </si>
  <si>
    <t>kg / pers / år</t>
  </si>
  <si>
    <t>Krom</t>
  </si>
  <si>
    <t>Energi til fremstilling</t>
  </si>
  <si>
    <t>Flydende ammonikak</t>
  </si>
  <si>
    <t>Argon</t>
  </si>
  <si>
    <t>Bekæmpelsesmidler</t>
  </si>
  <si>
    <t>Bitumen</t>
  </si>
  <si>
    <t>Calciumcarbonat, CaCO3</t>
  </si>
  <si>
    <t>Glas</t>
  </si>
  <si>
    <t>Konserveringsmidler</t>
  </si>
  <si>
    <t>CO2, Flydende</t>
  </si>
  <si>
    <t>Kvartssand</t>
  </si>
  <si>
    <t xml:space="preserve">Lim, </t>
  </si>
  <si>
    <t>Magnesium</t>
  </si>
  <si>
    <t>Maling og Lak</t>
  </si>
  <si>
    <t>Messing</t>
  </si>
  <si>
    <t>Natriumchlorid, salt</t>
  </si>
  <si>
    <t>Brændværdi</t>
  </si>
  <si>
    <t>MJ/kg</t>
  </si>
  <si>
    <t>Primær energi til 
Fremstillng</t>
  </si>
  <si>
    <t>Maling og Lak (Vandig)</t>
  </si>
  <si>
    <t>NaOH, 100 %</t>
  </si>
  <si>
    <t>Naturgas</t>
  </si>
  <si>
    <t>Nitrogen, N2</t>
  </si>
  <si>
    <t>Olieprodukter, Raf. Flydende</t>
  </si>
  <si>
    <t>Olieprodukter, Raf. Gas.</t>
  </si>
  <si>
    <t>Opl. Middel, fx Ethanol</t>
  </si>
  <si>
    <t>Opl. Middel, Chlorerede</t>
  </si>
  <si>
    <t>Oxygen, O2</t>
  </si>
  <si>
    <t>Papir, Pap</t>
  </si>
  <si>
    <t>Plast, ABS, Akryl</t>
  </si>
  <si>
    <t>Plast, EPS, Polystyren</t>
  </si>
  <si>
    <t>Plast, PC, Polykarbonat</t>
  </si>
  <si>
    <t>Plast, PE, Polyethylen</t>
  </si>
  <si>
    <t>Plast, PMMA</t>
  </si>
  <si>
    <t>Plast, POM</t>
  </si>
  <si>
    <t>Plast, PP, Polypropylen</t>
  </si>
  <si>
    <t>Plast, PS, Polystyren</t>
  </si>
  <si>
    <t>Plast, PUR, Polyurethan</t>
  </si>
  <si>
    <t>Plast, PVC, Polyvinylchlorid</t>
  </si>
  <si>
    <t>Plast, SAN, Styrenakry.</t>
  </si>
  <si>
    <t xml:space="preserve">Syntetisk gummi, </t>
  </si>
  <si>
    <t>Rustfrit stål</t>
  </si>
  <si>
    <t>Silicium, Si</t>
  </si>
  <si>
    <t>Støbejern</t>
  </si>
  <si>
    <t>Tensider</t>
  </si>
  <si>
    <t>Træ</t>
  </si>
  <si>
    <t>Vandværksvand, dansk</t>
  </si>
  <si>
    <t>Vegetabilsk olie</t>
  </si>
  <si>
    <t>Voks</t>
  </si>
  <si>
    <t>Om
smeltning</t>
  </si>
  <si>
    <t>Sepa
ration
Granu
lering</t>
  </si>
  <si>
    <t>Plast</t>
  </si>
  <si>
    <t>-</t>
  </si>
  <si>
    <t>MJ</t>
  </si>
  <si>
    <t>m3</t>
  </si>
  <si>
    <t>kg</t>
  </si>
  <si>
    <t>Hårdt træ</t>
  </si>
  <si>
    <t>Benzin</t>
  </si>
  <si>
    <t>Dieselolie</t>
  </si>
  <si>
    <t>Fyringsolie</t>
  </si>
  <si>
    <t>Butan</t>
  </si>
  <si>
    <t>Flaskegas</t>
  </si>
  <si>
    <t>Propan</t>
  </si>
  <si>
    <t>Enhedsproces</t>
  </si>
  <si>
    <t>Kommentar</t>
  </si>
  <si>
    <t>Procesenergi</t>
  </si>
  <si>
    <t>enhed</t>
  </si>
  <si>
    <t>Bukning af metalplade</t>
  </si>
  <si>
    <t>Energi er pr meter plade 
bukket 90 grader</t>
  </si>
  <si>
    <t>0,02 - 0,2</t>
  </si>
  <si>
    <t>MJ/m</t>
  </si>
  <si>
    <t>Drejning eller 
fræsning af Aluminium</t>
  </si>
  <si>
    <t>Enhed er kg fjernet materiale</t>
  </si>
  <si>
    <t>Elektrolytisk Overflade
behandling af metal</t>
  </si>
  <si>
    <t>Store variationer</t>
  </si>
  <si>
    <t>MJ/m2</t>
  </si>
  <si>
    <t>Koldflydepresning, 
Middel deformation</t>
  </si>
  <si>
    <t>Forarbejdning af emner, Koldflydning, 
metal, stål eller rustfrit stål</t>
  </si>
  <si>
    <t>Pladepresning, Lille
deformation</t>
  </si>
  <si>
    <t>Faconpresning af plade</t>
  </si>
  <si>
    <t>5 til 15</t>
  </si>
  <si>
    <t>Sprøjtestøbning af plast</t>
  </si>
  <si>
    <t>Små emner kræver typisk større ener-
giforbrug end store</t>
  </si>
  <si>
    <t>4 til 60</t>
  </si>
  <si>
    <t>Stansning, Plade</t>
  </si>
  <si>
    <t>Energi pr. m. snitlængde</t>
  </si>
  <si>
    <t>Svejsning</t>
  </si>
  <si>
    <t>Energi pr svejset meter i tyndplade
&lt; 2 mm, Normal punktafstand 3 - 4 cm.</t>
  </si>
  <si>
    <t xml:space="preserve">20 til 50 </t>
  </si>
  <si>
    <t>Trykstøbning</t>
  </si>
  <si>
    <t>MJ/km</t>
  </si>
  <si>
    <t>Stål:</t>
  </si>
  <si>
    <t>Maskinstål</t>
  </si>
  <si>
    <t>1 % Mangan</t>
  </si>
  <si>
    <t>Chrom 18%, nikkel 9%, resten jern</t>
  </si>
  <si>
    <t>Valselegering</t>
  </si>
  <si>
    <t>Støbelegering</t>
  </si>
  <si>
    <t>Silicium 12 %, rest Alu.</t>
  </si>
  <si>
    <t>Zink 37%, resten kobber</t>
  </si>
  <si>
    <t>Zink 33 %, Bly 2 %, rest kobber</t>
  </si>
  <si>
    <t>Bronze</t>
  </si>
  <si>
    <t>Tin 10%, rest kobber</t>
  </si>
  <si>
    <t>Aluminium 4%, Kobber 0,5%, rest Zink</t>
  </si>
  <si>
    <t>PE eller EPS</t>
  </si>
  <si>
    <t>Naturgas 40%, olie 60%</t>
  </si>
  <si>
    <t>ABS, PA, PC, PS</t>
  </si>
  <si>
    <t>Naturgas 50%, olie 50%</t>
  </si>
  <si>
    <t>PET, PP</t>
  </si>
  <si>
    <t>Naturgas 20%, olie 80%</t>
  </si>
  <si>
    <t>PUR</t>
  </si>
  <si>
    <t>Naturgas 40%, olie 40%, resten andet</t>
  </si>
  <si>
    <t>PVC</t>
  </si>
  <si>
    <t>Naturgas 20%, olie 40%, resten bl.a. NaCl</t>
  </si>
  <si>
    <t>Materiale</t>
  </si>
  <si>
    <t>Ressourcer</t>
  </si>
  <si>
    <t>Energiforbrug ved:</t>
  </si>
  <si>
    <t>Godskrivning ved genbrug</t>
  </si>
  <si>
    <t>Godskrivning ved forbrænding
80%</t>
  </si>
  <si>
    <t>Ved forbrænding godskrives 80 % af brændværdien.</t>
  </si>
  <si>
    <t>Alu, brændværdi = 27 MJ/kg for folie, 0 for andre typer.</t>
  </si>
  <si>
    <t>Parcelhuse &amp; stuehuse:</t>
  </si>
  <si>
    <t>Default</t>
  </si>
  <si>
    <t>+ pr m2</t>
  </si>
  <si>
    <t>kWh</t>
  </si>
  <si>
    <t>+ per person</t>
  </si>
  <si>
    <t>Lejligheder &amp; rækkehuse</t>
  </si>
  <si>
    <t>El</t>
  </si>
  <si>
    <t>Varme</t>
  </si>
  <si>
    <t>Vand</t>
  </si>
  <si>
    <t>Liter</t>
  </si>
  <si>
    <t>Sommerhus &gt; 100 m2</t>
  </si>
  <si>
    <t>kWh/dag</t>
  </si>
  <si>
    <t>Sommerhus &lt; 100 m2</t>
  </si>
  <si>
    <t>Biobenz. 5 %</t>
  </si>
  <si>
    <t>Diesel</t>
  </si>
  <si>
    <t>Kerosene</t>
  </si>
  <si>
    <t>CO2 udledn.</t>
  </si>
  <si>
    <t>Skibsdiesel</t>
  </si>
  <si>
    <t>gram/km</t>
  </si>
  <si>
    <t>Motorcykel</t>
  </si>
  <si>
    <t>Knallert</t>
  </si>
  <si>
    <t>Kg/personkm</t>
  </si>
  <si>
    <t>Tog, gennemsn.</t>
  </si>
  <si>
    <t>Kg/person</t>
  </si>
  <si>
    <t>Gennemsn.</t>
  </si>
  <si>
    <t>Fjernvarme</t>
  </si>
  <si>
    <t>Petroleum</t>
  </si>
  <si>
    <t>Fuelolie</t>
  </si>
  <si>
    <t>Antracit</t>
  </si>
  <si>
    <t>Koks</t>
  </si>
  <si>
    <t>Bygas</t>
  </si>
  <si>
    <t>Methan</t>
  </si>
  <si>
    <t>Ethan</t>
  </si>
  <si>
    <t>Brint</t>
  </si>
  <si>
    <t>Pap</t>
  </si>
  <si>
    <t>Flis</t>
  </si>
  <si>
    <t>Bark</t>
  </si>
  <si>
    <t>Halm</t>
  </si>
  <si>
    <t>Madaffald</t>
  </si>
  <si>
    <t>Resourcer</t>
  </si>
  <si>
    <t>Jern / Stål</t>
  </si>
  <si>
    <t>Bort
skaffelse</t>
  </si>
  <si>
    <t>Gen
vinding</t>
  </si>
  <si>
    <t>Forbrænding</t>
  </si>
  <si>
    <t>Deponering</t>
  </si>
  <si>
    <t>Frosynings-
horisont</t>
  </si>
  <si>
    <t>150-200</t>
  </si>
  <si>
    <t>Jern / Stål, Fra skrot</t>
  </si>
  <si>
    <t>Genvinding</t>
  </si>
  <si>
    <t>Velegnet</t>
  </si>
  <si>
    <t>Uproblematisk</t>
  </si>
  <si>
    <t>Giver giftige gasser</t>
  </si>
  <si>
    <t>Aluminium, fra skrot</t>
  </si>
  <si>
    <t>200 - 250</t>
  </si>
  <si>
    <t>40 - 50</t>
  </si>
  <si>
    <t>år</t>
  </si>
  <si>
    <t>Kobber, fra Malm</t>
  </si>
  <si>
    <t>Kobber, fra skrot</t>
  </si>
  <si>
    <t>Ionforbindelser er giftige</t>
  </si>
  <si>
    <t>15 - 25</t>
  </si>
  <si>
    <t>Zink, Zn, fra Malm</t>
  </si>
  <si>
    <t>Frarådes, knap ressource</t>
  </si>
  <si>
    <t>20 - 60</t>
  </si>
  <si>
    <t>20 - 25</t>
  </si>
  <si>
    <t>Nikkel, Fra Malm</t>
  </si>
  <si>
    <t>Lithium</t>
  </si>
  <si>
    <t>170 - 180</t>
  </si>
  <si>
    <t>Gøres ikke</t>
  </si>
  <si>
    <t>15 - 20</t>
  </si>
  <si>
    <t>pga. pris</t>
  </si>
  <si>
    <t>Ja, Pris</t>
  </si>
  <si>
    <t>150 - 160</t>
  </si>
  <si>
    <t>Ja, pris</t>
  </si>
  <si>
    <t>Lidt HCN, Nox, NH3</t>
  </si>
  <si>
    <t>OK, men energi tabes</t>
  </si>
  <si>
    <t>Brændes</t>
  </si>
  <si>
    <t>Ingen gevinst</t>
  </si>
  <si>
    <t>Epoxy</t>
  </si>
  <si>
    <t>ikke realistisk</t>
  </si>
  <si>
    <t>Lugtgener</t>
  </si>
  <si>
    <t>Plast, PA, Polyamid, Nylon</t>
  </si>
  <si>
    <t>Ikke egnet</t>
  </si>
  <si>
    <t>Ved større mængde</t>
  </si>
  <si>
    <t>Uproblematisk, energi tabes</t>
  </si>
  <si>
    <t>Plast, PET ( Flasker )</t>
  </si>
  <si>
    <t>Formaldehyd</t>
  </si>
  <si>
    <t>Udvikler store mængde PAH</t>
  </si>
  <si>
    <t>Uproblematisk.</t>
  </si>
  <si>
    <t>Ej relevant</t>
  </si>
  <si>
    <t>Plast, Teflon, PTFE</t>
  </si>
  <si>
    <t>ikke velegnet</t>
  </si>
  <si>
    <t>Ej mulig</t>
  </si>
  <si>
    <t>Sundhedsskadelig HF</t>
  </si>
  <si>
    <t>Silikone</t>
  </si>
  <si>
    <t>Glasvæv / fibre</t>
  </si>
  <si>
    <t>Deponi</t>
  </si>
  <si>
    <t>Glasuld</t>
  </si>
  <si>
    <t>Cement</t>
  </si>
  <si>
    <t>Som Fyld</t>
  </si>
  <si>
    <t>Tegl, Brændt ler</t>
  </si>
  <si>
    <t>Gipsplader</t>
  </si>
  <si>
    <t>Stenuld</t>
  </si>
  <si>
    <t>Bølgepap, af returpapir</t>
  </si>
  <si>
    <t>16 - 30</t>
  </si>
  <si>
    <t xml:space="preserve">Uproblematisk, </t>
  </si>
  <si>
    <t>OK, energi går tabt.</t>
  </si>
  <si>
    <t>OK, energi går tabt</t>
  </si>
  <si>
    <t>Sjældent relevant</t>
  </si>
  <si>
    <t>Træ, Blødt, Råforarbejdet</t>
  </si>
  <si>
    <t>Træ, Hårdt, Råforarbejdet</t>
  </si>
  <si>
    <t>Træ, Finer</t>
  </si>
  <si>
    <t xml:space="preserve">Ej egnet, Pga. Lim </t>
  </si>
  <si>
    <t>Træ, Spånplader</t>
  </si>
  <si>
    <t>Træ, Fiberplader</t>
  </si>
  <si>
    <t>Korn, Stivelse</t>
  </si>
  <si>
    <t>Kød fra pattedyr</t>
  </si>
  <si>
    <t>Kød fra Fjerkræ</t>
  </si>
  <si>
    <t>Kød, fisk og skaldyr</t>
  </si>
  <si>
    <t>Æg</t>
  </si>
  <si>
    <t>Mælkeprodukter</t>
  </si>
  <si>
    <t>Kemiske materialer</t>
  </si>
  <si>
    <t>Iltholdige opløsn. Midler</t>
  </si>
  <si>
    <t>Andre opløsningsmidler</t>
  </si>
  <si>
    <t>Aktive lægemidler</t>
  </si>
  <si>
    <t>Uorganiske syrer</t>
  </si>
  <si>
    <t>Organiske syrer</t>
  </si>
  <si>
    <t>Baser</t>
  </si>
  <si>
    <t>Skibstransport, 1 DWT = 1016 kg</t>
  </si>
  <si>
    <t>Bulkcarrier, 2 takt, 175.000 DWT</t>
  </si>
  <si>
    <t>Brændstofforbrug</t>
  </si>
  <si>
    <t>g /t km</t>
  </si>
  <si>
    <t>Udnyttelse</t>
  </si>
  <si>
    <t>87.500 t last, ~ 50 %</t>
  </si>
  <si>
    <t>Coaster, 4 takt, 2000 DWT</t>
  </si>
  <si>
    <t>1000 t last, ~50 %</t>
  </si>
  <si>
    <t>Containerbåd, 2-takt, 28.000 DWT</t>
  </si>
  <si>
    <t>14.000 t last, ~50 %</t>
  </si>
  <si>
    <t>RO-RO skib, 2 takt, 3.900 DWT</t>
  </si>
  <si>
    <t>1.950 last, ~50 %</t>
  </si>
  <si>
    <t>Skib</t>
  </si>
  <si>
    <t>Fly</t>
  </si>
  <si>
    <t>Stor Jet, Start / Landing</t>
  </si>
  <si>
    <t>g / ton</t>
  </si>
  <si>
    <t>52 ton, ~50 %</t>
  </si>
  <si>
    <t>Stor Jet, Cruise</t>
  </si>
  <si>
    <t>g / t km</t>
  </si>
  <si>
    <t>Tog</t>
  </si>
  <si>
    <t>Gods = 40 % af totalvægt</t>
  </si>
  <si>
    <t>Vej</t>
  </si>
  <si>
    <t>Varebil, &lt; 3,5 t, Diesel, Motorvej</t>
  </si>
  <si>
    <t>500 kg nyttelast, ~40 %</t>
  </si>
  <si>
    <t>Lastbil, 3,5 - 16 t, Diesel, Motorvej</t>
  </si>
  <si>
    <t>2 t nyttelast, ~40 %</t>
  </si>
  <si>
    <t>Lastbil &gt; 16 t, Diesel, Motorvej</t>
  </si>
  <si>
    <t>16,5 t nyttelast, ~70 %</t>
  </si>
  <si>
    <t>Kilde:  UMIP Enhedsprocesdatabase</t>
  </si>
  <si>
    <t>"Retningslinjer for miljøvurdering af produkter."</t>
  </si>
  <si>
    <t>MJ/kg km</t>
  </si>
  <si>
    <t>Godstog, Diesel, 7 % returnerer tomme</t>
  </si>
  <si>
    <t>CO2</t>
  </si>
  <si>
    <t>Regionaltog, Diesel</t>
  </si>
  <si>
    <t>Bus, Diesel</t>
  </si>
  <si>
    <t>Færge, Skibsdiesel</t>
  </si>
  <si>
    <t>Indenrigs, enkeltrejse</t>
  </si>
  <si>
    <t>Europæisk, enkeltrejse</t>
  </si>
  <si>
    <t>Oversøisk, enkeltrejse</t>
  </si>
  <si>
    <t>Kilder:</t>
  </si>
  <si>
    <t>Personbil, Diesel</t>
  </si>
  <si>
    <t>Personbil, Benzin</t>
  </si>
  <si>
    <t>Taxi</t>
  </si>
  <si>
    <t>g / Km</t>
  </si>
  <si>
    <t>g / km</t>
  </si>
  <si>
    <t>S-Tog, Metro, El</t>
  </si>
  <si>
    <t>Busser, Langturs</t>
  </si>
  <si>
    <t>ELAPPARAT</t>
  </si>
  <si>
    <t>Effekt i Watt</t>
  </si>
  <si>
    <t>Elforbrug pr. time, kWh</t>
  </si>
  <si>
    <t>Benyttelsestid</t>
  </si>
  <si>
    <t>pr. Døgn</t>
  </si>
  <si>
    <t>pr. år (timer)</t>
  </si>
  <si>
    <t xml:space="preserve">Elforbrug </t>
  </si>
  <si>
    <t>kWh pr. år</t>
  </si>
  <si>
    <t>Akvarium</t>
  </si>
  <si>
    <t>Barbermaskine</t>
  </si>
  <si>
    <t>5 min.</t>
  </si>
  <si>
    <t>Brødrister</t>
  </si>
  <si>
    <t>10 min.</t>
  </si>
  <si>
    <t>Cirkulations-pumpe</t>
  </si>
  <si>
    <t>24 timer</t>
  </si>
  <si>
    <t>Computer</t>
  </si>
  <si>
    <t>1 time</t>
  </si>
  <si>
    <t>EL-kedel</t>
  </si>
  <si>
    <t>0,11 / liter</t>
  </si>
  <si>
    <t>7 min.</t>
  </si>
  <si>
    <t>EL-ur</t>
  </si>
  <si>
    <t>Emhætte</t>
  </si>
  <si>
    <t>Fryseskab ny 185 liter</t>
  </si>
  <si>
    <t>1,2 /døgn</t>
  </si>
  <si>
    <t>Fryseskab gl. 185 liter</t>
  </si>
  <si>
    <t>1,5 /døgn</t>
  </si>
  <si>
    <t>Glødelampe</t>
  </si>
  <si>
    <t>4 timer</t>
  </si>
  <si>
    <t>Kaffemaskine</t>
  </si>
  <si>
    <t>0,1 / liter</t>
  </si>
  <si>
    <t>15 min</t>
  </si>
  <si>
    <t>Komfur ( 4 personer )</t>
  </si>
  <si>
    <t>2,0 / døgn</t>
  </si>
  <si>
    <t>Kummefryser ny 285 liter</t>
  </si>
  <si>
    <t>1,2 / døgn</t>
  </si>
  <si>
    <t>Kummefryser gl. 285 liter</t>
  </si>
  <si>
    <t>1,7 / døgn</t>
  </si>
  <si>
    <t>Køleskab ny 200 liter</t>
  </si>
  <si>
    <t>0,7 / døgn</t>
  </si>
  <si>
    <t>Køleskab gl. 200 liter</t>
  </si>
  <si>
    <t>0,9 / døgn</t>
  </si>
  <si>
    <t>Lavenergipære</t>
  </si>
  <si>
    <t>Lysstofrør</t>
  </si>
  <si>
    <t>Mikrobølgeovn</t>
  </si>
  <si>
    <t>10 min</t>
  </si>
  <si>
    <t>Oliefyr</t>
  </si>
  <si>
    <t>Opvaskemaskine, ny   4 pers.</t>
  </si>
  <si>
    <t>1,6 /gang</t>
  </si>
  <si>
    <t>5-6 g/uge</t>
  </si>
  <si>
    <t>Opvaskemaskine, gl.   4 pers.</t>
  </si>
  <si>
    <t>2,0 / gang</t>
  </si>
  <si>
    <t>Ovn</t>
  </si>
  <si>
    <t>3-4 g/uge</t>
  </si>
  <si>
    <t>Stereoradio</t>
  </si>
  <si>
    <t>3 timer</t>
  </si>
  <si>
    <t>Strygejern</t>
  </si>
  <si>
    <t>1 time/uge</t>
  </si>
  <si>
    <t>Støvsuger</t>
  </si>
  <si>
    <t>TV Farve</t>
  </si>
  <si>
    <t>Tørretumbler</t>
  </si>
  <si>
    <t>2,3 pr gang</t>
  </si>
  <si>
    <t>4-5 g/uge</t>
  </si>
  <si>
    <t>Vaskemaskine</t>
  </si>
  <si>
    <t>4 personer</t>
  </si>
  <si>
    <t>230 ( kogevask)</t>
  </si>
  <si>
    <t>155 ( kulørt )</t>
  </si>
  <si>
    <t>100 ( finvask )</t>
  </si>
  <si>
    <t>Video</t>
  </si>
  <si>
    <t>2 timer</t>
  </si>
  <si>
    <t>Boligens elforbrug:</t>
  </si>
  <si>
    <t>Genindvinding</t>
  </si>
  <si>
    <t>Type</t>
  </si>
  <si>
    <t>Udledning</t>
  </si>
  <si>
    <t>Kg / år</t>
  </si>
  <si>
    <t>Påvirkning</t>
  </si>
  <si>
    <r>
      <t>CO</t>
    </r>
    <r>
      <rPr>
        <vertAlign val="subscript"/>
        <sz val="12"/>
        <rFont val="Times New Roman"/>
        <family val="1"/>
      </rPr>
      <t>2</t>
    </r>
  </si>
  <si>
    <t>Drivhuseffekt</t>
  </si>
  <si>
    <r>
      <t>SO</t>
    </r>
    <r>
      <rPr>
        <vertAlign val="subscript"/>
        <sz val="12"/>
        <rFont val="Times New Roman"/>
        <family val="1"/>
      </rPr>
      <t>2</t>
    </r>
  </si>
  <si>
    <t>Forsuring</t>
  </si>
  <si>
    <r>
      <t>NO</t>
    </r>
    <r>
      <rPr>
        <vertAlign val="subscript"/>
        <sz val="12"/>
        <rFont val="Times New Roman"/>
        <family val="1"/>
      </rPr>
      <t>3</t>
    </r>
  </si>
  <si>
    <t xml:space="preserve">58  (300  ?) </t>
  </si>
  <si>
    <t>Næringssalte</t>
  </si>
  <si>
    <r>
      <t>C</t>
    </r>
    <r>
      <rPr>
        <vertAlign val="subscript"/>
        <sz val="12"/>
        <rFont val="Times New Roman"/>
        <family val="1"/>
      </rPr>
      <t>2</t>
    </r>
    <r>
      <rPr>
        <sz val="12"/>
        <rFont val="Times New Roman"/>
        <family val="1"/>
      </rPr>
      <t>H</t>
    </r>
    <r>
      <rPr>
        <vertAlign val="subscript"/>
        <sz val="12"/>
        <rFont val="Times New Roman"/>
        <family val="1"/>
      </rPr>
      <t>4</t>
    </r>
  </si>
  <si>
    <t>Fotokemisk</t>
  </si>
  <si>
    <t>Forbrug</t>
  </si>
  <si>
    <t>Råolie</t>
  </si>
  <si>
    <t>Vand, gnmsn.</t>
  </si>
  <si>
    <t xml:space="preserve">Vand, </t>
  </si>
  <si>
    <t>2 voksne + 2 børn</t>
  </si>
  <si>
    <t>Affald</t>
  </si>
  <si>
    <t>Volumenaffald</t>
  </si>
  <si>
    <t>Slagge og aske</t>
  </si>
  <si>
    <t>1 person's :</t>
  </si>
  <si>
    <t>liter / døgn</t>
  </si>
  <si>
    <t>m3 / år</t>
  </si>
  <si>
    <t>Kilde:</t>
  </si>
  <si>
    <t>pr 1000 kg</t>
  </si>
  <si>
    <t>Stål</t>
  </si>
  <si>
    <t>Indgående</t>
  </si>
  <si>
    <t>Fossilt rå-materiale (1)</t>
  </si>
  <si>
    <t>Gj</t>
  </si>
  <si>
    <t>13-15</t>
  </si>
  <si>
    <t>Al i bauxit</t>
  </si>
  <si>
    <t>Kg</t>
  </si>
  <si>
    <t>1010-1020</t>
  </si>
  <si>
    <t>Fe i malm</t>
  </si>
  <si>
    <t>1015-1035</t>
  </si>
  <si>
    <t>14000-18000</t>
  </si>
  <si>
    <t>50-90</t>
  </si>
  <si>
    <t>1600-2600</t>
  </si>
  <si>
    <t>540-700</t>
  </si>
  <si>
    <t>l</t>
  </si>
  <si>
    <t>700-860</t>
  </si>
  <si>
    <t>120-220</t>
  </si>
  <si>
    <t>35-65</t>
  </si>
  <si>
    <t>84-100</t>
  </si>
  <si>
    <t>Gasolie</t>
  </si>
  <si>
    <t>0,6-0,8</t>
  </si>
  <si>
    <r>
      <t>m</t>
    </r>
    <r>
      <rPr>
        <vertAlign val="superscript"/>
        <sz val="10"/>
        <rFont val="Times New Roman"/>
        <family val="1"/>
      </rPr>
      <t>3</t>
    </r>
  </si>
  <si>
    <t>30-60</t>
  </si>
  <si>
    <t>110-140</t>
  </si>
  <si>
    <t>GJ</t>
  </si>
  <si>
    <t>Udgående til vand</t>
  </si>
  <si>
    <t>N total</t>
  </si>
  <si>
    <t>0,35-0,60</t>
  </si>
  <si>
    <t>Pb</t>
  </si>
  <si>
    <t>Zn</t>
  </si>
  <si>
    <t>Udgående til luft</t>
  </si>
  <si>
    <r>
      <t>Fossilt CO</t>
    </r>
    <r>
      <rPr>
        <vertAlign val="subscript"/>
        <sz val="10"/>
        <rFont val="Times New Roman"/>
        <family val="1"/>
      </rPr>
      <t>2</t>
    </r>
  </si>
  <si>
    <t>1400-1500</t>
  </si>
  <si>
    <t>80-150</t>
  </si>
  <si>
    <t>1600-1800</t>
  </si>
  <si>
    <r>
      <t>NO</t>
    </r>
    <r>
      <rPr>
        <vertAlign val="subscript"/>
        <sz val="10"/>
        <rFont val="Times New Roman"/>
        <family val="1"/>
      </rPr>
      <t>x</t>
    </r>
  </si>
  <si>
    <t>0,18-0,22</t>
  </si>
  <si>
    <t>0,3-0,4</t>
  </si>
  <si>
    <r>
      <t>SO</t>
    </r>
    <r>
      <rPr>
        <vertAlign val="subscript"/>
        <sz val="10"/>
        <rFont val="Times New Roman"/>
        <family val="1"/>
      </rPr>
      <t>2</t>
    </r>
  </si>
  <si>
    <t>0,40-0,70</t>
  </si>
  <si>
    <t>1,1-1,5</t>
  </si>
  <si>
    <t>1000-1200</t>
  </si>
  <si>
    <t>25-43</t>
  </si>
  <si>
    <t>260-360</t>
  </si>
  <si>
    <t>11 til 22</t>
  </si>
  <si>
    <t>Data vedr. fremstilling af emballage</t>
  </si>
  <si>
    <t xml:space="preserve"> </t>
  </si>
  <si>
    <t>Kilde: 1 ton mindre</t>
  </si>
  <si>
    <t>( Kg )</t>
  </si>
  <si>
    <t>1 KWh</t>
  </si>
  <si>
    <t>Vest DK</t>
  </si>
  <si>
    <t>El, Øst DK.</t>
  </si>
  <si>
    <t>1 kWh</t>
  </si>
  <si>
    <t>Pr pers pr år</t>
  </si>
  <si>
    <t>Husholdning</t>
  </si>
  <si>
    <t>Energi</t>
  </si>
  <si>
    <t>Persontransport</t>
  </si>
  <si>
    <t>Vareforbrug</t>
  </si>
  <si>
    <t>I alt</t>
  </si>
  <si>
    <t>Total, Danmark, (2004)</t>
  </si>
  <si>
    <t>Kilde: 1 ton mindre.</t>
  </si>
  <si>
    <t>%</t>
  </si>
  <si>
    <t>( 5.401 mio. indb. )</t>
  </si>
  <si>
    <t>Cykler &amp; knallerter, max 30 km/t</t>
  </si>
  <si>
    <t xml:space="preserve">Mio. personkm. </t>
  </si>
  <si>
    <t>Danmarks statistik, 2006</t>
  </si>
  <si>
    <t>Private biler, Benzin og diesel</t>
  </si>
  <si>
    <t>Private biler, Benzin</t>
  </si>
  <si>
    <t>Private biler,  diesel</t>
  </si>
  <si>
    <t>Taxier</t>
  </si>
  <si>
    <t>Motorcykler</t>
  </si>
  <si>
    <t>Knallert 45</t>
  </si>
  <si>
    <t>Varevogne under 2001 kg ???</t>
  </si>
  <si>
    <t>Bybusser</t>
  </si>
  <si>
    <t>Rutebiler og andre busser</t>
  </si>
  <si>
    <t>Busser til privat kørsel</t>
  </si>
  <si>
    <t>Motoriserede køretøjer i alt:</t>
  </si>
  <si>
    <t>Skibe</t>
  </si>
  <si>
    <t>( Varme )</t>
  </si>
  <si>
    <t>( Elektricitet )</t>
  </si>
  <si>
    <t>Effektfaktor</t>
  </si>
  <si>
    <t>Stof:</t>
  </si>
  <si>
    <t>CO</t>
  </si>
  <si>
    <t>Kulbrinter, div</t>
  </si>
  <si>
    <t>Fotokemisk
Ozondannelse</t>
  </si>
  <si>
    <t>Nitrogenoxider</t>
  </si>
  <si>
    <t xml:space="preserve">Svovldioxid, </t>
  </si>
  <si>
    <t>Næringssalt
belastning</t>
  </si>
  <si>
    <t>Nitrogenoxider til luft</t>
  </si>
  <si>
    <t>Nitrat</t>
  </si>
  <si>
    <t>Uspecific. Nitrogen</t>
  </si>
  <si>
    <t>C2H4</t>
  </si>
  <si>
    <t>SO2</t>
  </si>
  <si>
    <t>NO3</t>
  </si>
  <si>
    <t>Ressourcer, udledninger og affald fra en families forbrug af 1000 kWh  strøm</t>
  </si>
  <si>
    <t>g</t>
  </si>
  <si>
    <t>Mængde</t>
  </si>
  <si>
    <t>Resource</t>
  </si>
  <si>
    <t>Emissioner til vand</t>
  </si>
  <si>
    <t>Nitrat NO3 - N</t>
  </si>
  <si>
    <t>mg</t>
  </si>
  <si>
    <t>Uspec. Nitrogen</t>
  </si>
  <si>
    <t>Emissioner til Luft</t>
  </si>
  <si>
    <t>Kuldioxid, CO2</t>
  </si>
  <si>
    <t>Kulbrinter, HC, div.</t>
  </si>
  <si>
    <t>Methan, CH4</t>
  </si>
  <si>
    <t>Nitrogenoxider NOx</t>
  </si>
  <si>
    <t>Svovldioxid SO2</t>
  </si>
  <si>
    <t>Fast Affald</t>
  </si>
  <si>
    <t>Uspec. Volumenaffald</t>
  </si>
  <si>
    <t>Uspec. Slagge / aske</t>
  </si>
  <si>
    <t xml:space="preserve">El, leveret til forbruger, </t>
  </si>
  <si>
    <t>pr kWh</t>
  </si>
  <si>
    <t xml:space="preserve">Naturgas, stort fyr </t>
  </si>
  <si>
    <r>
      <t>pr m</t>
    </r>
    <r>
      <rPr>
        <b/>
        <vertAlign val="superscript"/>
        <sz val="10"/>
        <rFont val="Times New Roman"/>
        <family val="1"/>
      </rPr>
      <t>3</t>
    </r>
  </si>
  <si>
    <t xml:space="preserve">Fuelolie, stort fyr </t>
  </si>
  <si>
    <t>pr liter</t>
  </si>
  <si>
    <t xml:space="preserve">Fuelolie, skib </t>
  </si>
  <si>
    <t>pr kg</t>
  </si>
  <si>
    <t xml:space="preserve">Gasolie stationært </t>
  </si>
  <si>
    <t xml:space="preserve">Gasolie, mobilt (1) </t>
  </si>
  <si>
    <t>Fossile brændsler</t>
  </si>
  <si>
    <t>0,010-0,012</t>
  </si>
  <si>
    <t>0,043-0,044</t>
  </si>
  <si>
    <t>0,045-0,046</t>
  </si>
  <si>
    <t>0,047-0,048</t>
  </si>
  <si>
    <t>0,039-0,040</t>
  </si>
  <si>
    <t>Udgående Til luft</t>
  </si>
  <si>
    <r>
      <t>CH</t>
    </r>
    <r>
      <rPr>
        <vertAlign val="subscript"/>
        <sz val="10"/>
        <rFont val="Times New Roman"/>
        <family val="1"/>
      </rPr>
      <t>4</t>
    </r>
  </si>
  <si>
    <t>0,002-0,006</t>
  </si>
  <si>
    <r>
      <t>Fossil CO</t>
    </r>
    <r>
      <rPr>
        <vertAlign val="subscript"/>
        <sz val="10"/>
        <rFont val="Times New Roman"/>
        <family val="1"/>
      </rPr>
      <t>2</t>
    </r>
  </si>
  <si>
    <t>kg  ???</t>
  </si>
  <si>
    <t>0,53-0,92</t>
  </si>
  <si>
    <t>2,3-2,4</t>
  </si>
  <si>
    <t>3,4-3,5</t>
  </si>
  <si>
    <t>3,3-3,4</t>
  </si>
  <si>
    <t>2,9-3,0</t>
  </si>
  <si>
    <t>2,7-2,9</t>
  </si>
  <si>
    <r>
      <t>NH</t>
    </r>
    <r>
      <rPr>
        <vertAlign val="subscript"/>
        <sz val="10"/>
        <rFont val="Times New Roman"/>
        <family val="1"/>
      </rPr>
      <t>3</t>
    </r>
  </si>
  <si>
    <t>0,002-0,003</t>
  </si>
  <si>
    <t>0,003-0,006</t>
  </si>
  <si>
    <t>0,008-0,013</t>
  </si>
  <si>
    <t>0,06-0,07</t>
  </si>
  <si>
    <t>0,005-0,007</t>
  </si>
  <si>
    <t>0,015-0,041</t>
  </si>
  <si>
    <r>
      <t>N</t>
    </r>
    <r>
      <rPr>
        <vertAlign val="subscript"/>
        <sz val="10"/>
        <rFont val="Times New Roman"/>
        <family val="1"/>
      </rPr>
      <t>2</t>
    </r>
    <r>
      <rPr>
        <sz val="10"/>
        <rFont val="Times New Roman"/>
        <family val="1"/>
      </rPr>
      <t>O</t>
    </r>
  </si>
  <si>
    <t>0,004-0,005</t>
  </si>
  <si>
    <t>0,014-0,016</t>
  </si>
  <si>
    <t>0,06-0,08</t>
  </si>
  <si>
    <r>
      <t xml:space="preserve">VOC </t>
    </r>
    <r>
      <rPr>
        <sz val="8"/>
        <rFont val="Times New Roman"/>
        <family val="1"/>
      </rPr>
      <t>(Volatile organic compounds )</t>
    </r>
    <r>
      <rPr>
        <sz val="10"/>
        <rFont val="Times New Roman"/>
        <family val="1"/>
      </rPr>
      <t xml:space="preserve"> Undt. CH</t>
    </r>
    <r>
      <rPr>
        <vertAlign val="subscript"/>
        <sz val="10"/>
        <rFont val="Times New Roman"/>
        <family val="1"/>
      </rPr>
      <t>4</t>
    </r>
  </si>
  <si>
    <t>0,004-0,012</t>
  </si>
  <si>
    <t>Hg</t>
  </si>
  <si>
    <t>milligram</t>
  </si>
  <si>
    <t>&lt;0,1</t>
  </si>
  <si>
    <t>0,08-0,21</t>
  </si>
  <si>
    <t>Energiforsyning</t>
  </si>
  <si>
    <t>Nordsøgas</t>
  </si>
  <si>
    <t>Stof</t>
  </si>
  <si>
    <t>Naturlig produktion</t>
  </si>
  <si>
    <t>Mio tons pr år</t>
  </si>
  <si>
    <t xml:space="preserve">Menneskeskabt produktion </t>
  </si>
  <si>
    <t>% af total</t>
  </si>
  <si>
    <t>Carbondioxid</t>
  </si>
  <si>
    <t>Carbonmonooxid</t>
  </si>
  <si>
    <t>Carbonhydrider</t>
  </si>
  <si>
    <r>
      <t>C</t>
    </r>
    <r>
      <rPr>
        <vertAlign val="subscript"/>
        <sz val="12"/>
        <rFont val="Times New Roman"/>
        <family val="1"/>
      </rPr>
      <t>x</t>
    </r>
    <r>
      <rPr>
        <sz val="12"/>
        <rFont val="Times New Roman"/>
        <family val="1"/>
      </rPr>
      <t>H</t>
    </r>
    <r>
      <rPr>
        <vertAlign val="subscript"/>
        <sz val="12"/>
        <rFont val="Times New Roman"/>
        <family val="1"/>
      </rPr>
      <t>y</t>
    </r>
  </si>
  <si>
    <r>
      <t>NO</t>
    </r>
    <r>
      <rPr>
        <vertAlign val="subscript"/>
        <sz val="12"/>
        <rFont val="Times New Roman"/>
        <family val="1"/>
      </rPr>
      <t>x</t>
    </r>
  </si>
  <si>
    <t>Dinitrogenoxid</t>
  </si>
  <si>
    <r>
      <t>N</t>
    </r>
    <r>
      <rPr>
        <vertAlign val="subscript"/>
        <sz val="12"/>
        <rFont val="Times New Roman"/>
        <family val="1"/>
      </rPr>
      <t>2</t>
    </r>
    <r>
      <rPr>
        <sz val="12"/>
        <rFont val="Times New Roman"/>
        <family val="1"/>
      </rPr>
      <t>O</t>
    </r>
  </si>
  <si>
    <t>Ammoniak</t>
  </si>
  <si>
    <r>
      <t>NH</t>
    </r>
    <r>
      <rPr>
        <vertAlign val="subscript"/>
        <sz val="12"/>
        <rFont val="Times New Roman"/>
        <family val="1"/>
      </rPr>
      <t>3</t>
    </r>
  </si>
  <si>
    <t>Svovloxider</t>
  </si>
  <si>
    <r>
      <t>SO</t>
    </r>
    <r>
      <rPr>
        <vertAlign val="subscript"/>
        <sz val="12"/>
        <rFont val="Times New Roman"/>
        <family val="1"/>
      </rPr>
      <t>x</t>
    </r>
  </si>
  <si>
    <t>Støv</t>
  </si>
  <si>
    <t>Global produktion af en række stoffer:</t>
  </si>
  <si>
    <t>Kilde: JP, 23/12-07</t>
  </si>
  <si>
    <t>Data for lastbiltransport excl. egenvægt</t>
  </si>
  <si>
    <t>Kørsel på landevej</t>
  </si>
  <si>
    <t>( 65 km/t )</t>
  </si>
  <si>
    <t>Kørsel på motorvej</t>
  </si>
  <si>
    <t>Energiforbrug (1)</t>
  </si>
  <si>
    <t>MJ /ton km</t>
  </si>
  <si>
    <r>
      <t>Kuldioxid ( CO</t>
    </r>
    <r>
      <rPr>
        <vertAlign val="subscript"/>
        <sz val="12"/>
        <rFont val="Times New Roman"/>
        <family val="1"/>
      </rPr>
      <t>2</t>
    </r>
    <r>
      <rPr>
        <sz val="12"/>
        <rFont val="Times New Roman"/>
        <family val="1"/>
      </rPr>
      <t xml:space="preserve"> )</t>
    </r>
  </si>
  <si>
    <t>g/ton km</t>
  </si>
  <si>
    <t>Kulmonooxid ( CO )</t>
  </si>
  <si>
    <r>
      <t>Nitrogenoxid ( NO</t>
    </r>
    <r>
      <rPr>
        <vertAlign val="subscript"/>
        <sz val="12"/>
        <rFont val="Times New Roman"/>
        <family val="1"/>
      </rPr>
      <t>x</t>
    </r>
    <r>
      <rPr>
        <sz val="12"/>
        <rFont val="Times New Roman"/>
        <family val="1"/>
      </rPr>
      <t xml:space="preserve"> )</t>
    </r>
  </si>
  <si>
    <t>Kulbrinter ( HC )</t>
  </si>
  <si>
    <t>Flygtige organiske forbindelser</t>
  </si>
  <si>
    <r>
      <t>Svovldioxid SO</t>
    </r>
    <r>
      <rPr>
        <vertAlign val="subscript"/>
        <sz val="12"/>
        <rFont val="Times New Roman"/>
        <family val="1"/>
      </rPr>
      <t>2</t>
    </r>
  </si>
  <si>
    <t>Partikler</t>
  </si>
  <si>
    <r>
      <t>I Danmark bruger en person i gennemsnit 125 liter vand pr. dag - det det svarer til 46 m</t>
    </r>
    <r>
      <rPr>
        <vertAlign val="superscript"/>
        <sz val="8"/>
        <color indexed="8"/>
        <rFont val="Verdana"/>
        <family val="2"/>
      </rPr>
      <t>3</t>
    </r>
    <r>
      <rPr>
        <sz val="8"/>
        <color indexed="8"/>
        <rFont val="Verdana"/>
        <family val="2"/>
      </rPr>
      <t xml:space="preserve"> pr. år.</t>
    </r>
  </si>
  <si>
    <t>Kilde: http://www.elforsk.dk/doks/334-026/Bil_2_334_026.pdf</t>
  </si>
  <si>
    <t>m3 pr år</t>
  </si>
  <si>
    <t xml:space="preserve">Udlednings-Kilde: </t>
  </si>
  <si>
    <t>Gennemsnitl. Udl. EU, 2007</t>
  </si>
  <si>
    <t>EU krav, nye biler, fra 2012</t>
  </si>
  <si>
    <t>BMW, 2007</t>
  </si>
  <si>
    <t>Mercedes</t>
  </si>
  <si>
    <t>Fiat, Renault, Peugeot, Citroën</t>
  </si>
  <si>
    <t>142 - 147</t>
  </si>
  <si>
    <t>Audi A6, 2,4 liter, V6</t>
  </si>
  <si>
    <t>km/l</t>
  </si>
  <si>
    <t>Firhjulstrækker, Diesel</t>
  </si>
  <si>
    <t>Firhjulstrækker, Benzin</t>
  </si>
  <si>
    <t>Varebil eller minibus, Diesel</t>
  </si>
  <si>
    <t>Varebil eller minibus, Benzin</t>
  </si>
  <si>
    <t>Godstog, El</t>
  </si>
  <si>
    <t>0,06 - 0,1</t>
  </si>
  <si>
    <t>Kwh/t km</t>
  </si>
  <si>
    <t>17,1 - 25</t>
  </si>
  <si>
    <t>17,8 - 29</t>
  </si>
  <si>
    <t>77 - 150</t>
  </si>
  <si>
    <t>Udledning:</t>
  </si>
  <si>
    <t>Kg/liter</t>
  </si>
  <si>
    <t>Benzin, 5 % Ethanol</t>
  </si>
  <si>
    <t>http://www2.dmu.dk/Pub/MB16.pdf</t>
  </si>
  <si>
    <t>CO2 udledning Gram</t>
  </si>
  <si>
    <t>Andre tal</t>
  </si>
  <si>
    <t>Oksekød, hakkebøf</t>
  </si>
  <si>
    <t>200 g</t>
  </si>
  <si>
    <t>5.600 ??</t>
  </si>
  <si>
    <t>Oksemørbrad</t>
  </si>
  <si>
    <t>1 Kg</t>
  </si>
  <si>
    <t>Fisk</t>
  </si>
  <si>
    <t>240 – 600 g</t>
  </si>
  <si>
    <t>Svinekød</t>
  </si>
  <si>
    <t>580 g</t>
  </si>
  <si>
    <t>3,6 kg CO2 / kg rent svinekød</t>
  </si>
  <si>
    <t>Kylling</t>
  </si>
  <si>
    <t>520 +</t>
  </si>
  <si>
    <t>Pasta</t>
  </si>
  <si>
    <t>1 glas vin</t>
  </si>
  <si>
    <t>15 cl</t>
  </si>
  <si>
    <t>300 +</t>
  </si>
  <si>
    <t xml:space="preserve">Portion ris, </t>
  </si>
  <si>
    <t>75 g</t>
  </si>
  <si>
    <t>Ost, 2 skiver</t>
  </si>
  <si>
    <t>30 g</t>
  </si>
  <si>
    <t>Chokolade</t>
  </si>
  <si>
    <t>50 g</t>
  </si>
  <si>
    <t>1 porre</t>
  </si>
  <si>
    <t>125 g</t>
  </si>
  <si>
    <t>1 dansk tomat</t>
  </si>
  <si>
    <t>80 g</t>
  </si>
  <si>
    <t>1 glas mælk</t>
  </si>
  <si>
    <t>5 cm dansk augurk</t>
  </si>
  <si>
    <t>2 kopper kaffe</t>
  </si>
  <si>
    <t>14 g</t>
  </si>
  <si>
    <t>4 skiver brød</t>
  </si>
  <si>
    <t>160 g</t>
  </si>
  <si>
    <t>1 æg</t>
  </si>
  <si>
    <t>55 g</t>
  </si>
  <si>
    <t>1 sydeuropæisk tomat</t>
  </si>
  <si>
    <t>5 cm sydeuropæisk augurk</t>
  </si>
  <si>
    <t>Hvidkål</t>
  </si>
  <si>
    <t>100 max</t>
  </si>
  <si>
    <t>5 buketter blomkål</t>
  </si>
  <si>
    <t>1 øl</t>
  </si>
  <si>
    <t>33 cl</t>
  </si>
  <si>
    <t>99 max</t>
  </si>
  <si>
    <t>2 æbler</t>
  </si>
  <si>
    <t>240 g</t>
  </si>
  <si>
    <t>96 max</t>
  </si>
  <si>
    <t>3 spsk sukker</t>
  </si>
  <si>
    <t>48 g</t>
  </si>
  <si>
    <t>2 spsk olie</t>
  </si>
  <si>
    <t>90 max</t>
  </si>
  <si>
    <t>Halvt salathoved</t>
  </si>
  <si>
    <t>150 g</t>
  </si>
  <si>
    <t>10 løg</t>
  </si>
  <si>
    <t>kartofler</t>
  </si>
  <si>
    <t>10 gulerødder</t>
  </si>
  <si>
    <t xml:space="preserve">Se: </t>
  </si>
  <si>
    <t>http://ing.dk/artikel/89445</t>
  </si>
  <si>
    <t>www.lcafood.dk</t>
  </si>
  <si>
    <t>http://www.agrsci.dk/ny_navigation/nyheder/nyheder/flaeskestegens_miljoebelastning</t>
  </si>
  <si>
    <t>Bananer fra Mellemamerika</t>
  </si>
  <si>
    <t>80 kg</t>
  </si>
  <si>
    <t>1 ton</t>
  </si>
  <si>
    <t>8 kg</t>
  </si>
  <si>
    <t>Med skib til Europa</t>
  </si>
  <si>
    <t>http://politiken.dk/tjek/dagligliv/forbrugguider/guidermad/gmadartikel/article488232.ece</t>
  </si>
  <si>
    <t>http://politiken.dk/tjek/dagligliv/forbrugguider/guidermad/article488230.ece</t>
  </si>
  <si>
    <t>Institut for Jordbrugsvidenskab og Miljø, Århus Universitet.</t>
  </si>
  <si>
    <t>Frugt, Produceret i DK</t>
  </si>
  <si>
    <t>1 kg</t>
  </si>
  <si>
    <t>421 g</t>
  </si>
  <si>
    <t>Frugt, Produceret i øvrige EU</t>
  </si>
  <si>
    <t>720 g</t>
  </si>
  <si>
    <t>Grøntsager, fra Danmark</t>
  </si>
  <si>
    <t>126 g</t>
  </si>
  <si>
    <t>Grøntsager, fra øvrige EU</t>
  </si>
  <si>
    <t>215 g</t>
  </si>
  <si>
    <t>Global Warming Potential</t>
  </si>
  <si>
    <t>" Grund-stof "</t>
  </si>
  <si>
    <t>Opvarmning:</t>
  </si>
  <si>
    <t>CO2 udledning</t>
  </si>
  <si>
    <t>Kg/kWh</t>
  </si>
  <si>
    <t>Centralvarme</t>
  </si>
  <si>
    <t>Træ, halm</t>
  </si>
  <si>
    <t>Elektricitet</t>
  </si>
  <si>
    <t>Varmepumpe</t>
  </si>
  <si>
    <t>Danmark</t>
  </si>
  <si>
    <t xml:space="preserve"> +4 fra industri</t>
  </si>
  <si>
    <t>Kina</t>
  </si>
  <si>
    <t>Afrika</t>
  </si>
  <si>
    <t>USA</t>
  </si>
  <si>
    <t>Ton pr år pr indb.</t>
  </si>
  <si>
    <t>Land</t>
  </si>
  <si>
    <t>Madvare
Kilde: JP, 27 Aug. 08</t>
  </si>
  <si>
    <t>Glasflasker</t>
  </si>
  <si>
    <t>PET</t>
  </si>
  <si>
    <t>Papir</t>
  </si>
  <si>
    <t>Alu dåser</t>
  </si>
  <si>
    <t>Stål-dåser</t>
  </si>
  <si>
    <t>http://www.1tonmindre.dk/doks/Beregningsforuds%C3%A6tninger%20final%20draft_111207.pdf</t>
  </si>
  <si>
    <t>Gnm. Genanven
delses
procent</t>
  </si>
  <si>
    <t>CO2 udled
ning ved 
forbrænding
Kg/ton</t>
  </si>
  <si>
    <t>CO2 udled-
ning ved
Gen-anven-
delse, Kg/ton</t>
  </si>
  <si>
    <t>Forskel, Delta
Kg / ton</t>
  </si>
  <si>
    <t>Forbrug pr år</t>
  </si>
  <si>
    <t>Opvarmningssystemer</t>
  </si>
  <si>
    <t>Andet</t>
  </si>
  <si>
    <t>CO2-faktor</t>
  </si>
  <si>
    <t>Centralvarme, Naturgas</t>
  </si>
  <si>
    <t>Centralvarme, Olie</t>
  </si>
  <si>
    <t xml:space="preserve">Centralvarme, Træ, Halm, </t>
  </si>
  <si>
    <t>Vand, Opvarmning:</t>
  </si>
  <si>
    <t>Gennemsnit:</t>
  </si>
  <si>
    <t>Kr/m3</t>
  </si>
  <si>
    <t>Til</t>
  </si>
  <si>
    <t>Nyt gasfyr</t>
  </si>
  <si>
    <t>Nyt oliefyr</t>
  </si>
  <si>
    <t>Gammelt gas eller oliefyr</t>
  </si>
  <si>
    <t>Træpiller</t>
  </si>
  <si>
    <t>Fra</t>
  </si>
  <si>
    <t>Solvarme, ( kun el til pumpe )</t>
  </si>
  <si>
    <t>Badekar</t>
  </si>
  <si>
    <t>Brusebad</t>
  </si>
  <si>
    <t>Håndvask</t>
  </si>
  <si>
    <t>Køkkenvask</t>
  </si>
  <si>
    <t>Rengøringsvask</t>
  </si>
  <si>
    <t xml:space="preserve">Gennemsnitlig, </t>
  </si>
  <si>
    <t>Liter / brug</t>
  </si>
  <si>
    <t>Liter/sekund</t>
  </si>
  <si>
    <t>Antal brug/uge</t>
  </si>
  <si>
    <t xml:space="preserve">Brusebad </t>
  </si>
  <si>
    <t>Madlavning / opvask</t>
  </si>
  <si>
    <t>Forbrug pr person pr dag</t>
  </si>
  <si>
    <t>CO2 udledning
Ton/år</t>
  </si>
  <si>
    <t>CO2 udledning
kg/kWh</t>
  </si>
  <si>
    <t>Energiindhold fra/til</t>
  </si>
  <si>
    <t>(2)  Se:</t>
  </si>
  <si>
    <t xml:space="preserve">(3) Se: </t>
  </si>
  <si>
    <t>Med fly til Europa, JP 27/8-08</t>
  </si>
  <si>
    <t>Kørsel i by 
(40 km/t)</t>
  </si>
  <si>
    <t>(80 km/t)</t>
  </si>
  <si>
    <t>Global opvarmning</t>
  </si>
  <si>
    <t>0,0000000000015°C pr. ton CO2</t>
  </si>
  <si>
    <t>Basic Data</t>
  </si>
  <si>
    <t>Energy consumption for manufacturing [MJ/unit] (=E-parameter)</t>
  </si>
  <si>
    <t>Energy consumption for remelting [MJ/unit]</t>
  </si>
  <si>
    <t>Energy recovery by icinerationion [MJ/unit]</t>
  </si>
  <si>
    <t>Resource Indicator (R-parameter) [mPR/unit]</t>
  </si>
  <si>
    <t>Unit</t>
  </si>
  <si>
    <t>Recovery % at recovery plant</t>
  </si>
  <si>
    <t>% of material to be remelted for recycling</t>
  </si>
  <si>
    <t>% of material to be incinerated with energy recovery</t>
  </si>
  <si>
    <t>% of energy saved due to revovery</t>
  </si>
  <si>
    <t>% of resources to be recovered</t>
  </si>
  <si>
    <t>Brass</t>
  </si>
  <si>
    <t>Cardboard and paper</t>
  </si>
  <si>
    <t>Cast iron</t>
  </si>
  <si>
    <t>Copper</t>
  </si>
  <si>
    <t>Copper in an electro engine</t>
  </si>
  <si>
    <t>Ferrite</t>
  </si>
  <si>
    <t>Glass</t>
  </si>
  <si>
    <t>Lead, Pb</t>
  </si>
  <si>
    <t>Nickel, Ni</t>
  </si>
  <si>
    <t>Plast, PC, polycarbonate</t>
  </si>
  <si>
    <t>Plastic, polybutadien, Synthetic rubber</t>
  </si>
  <si>
    <t>Plastic, PVC, polyvinylchloride</t>
  </si>
  <si>
    <t>Plastics, other</t>
  </si>
  <si>
    <t>Silicon, Si</t>
  </si>
  <si>
    <t>Stainless steel</t>
  </si>
  <si>
    <t>Steel</t>
  </si>
  <si>
    <t>Tin / Lead Sn60Pb40</t>
  </si>
  <si>
    <t>Zinc, Zn</t>
  </si>
  <si>
    <t>Zinc, Zn as surface treatment</t>
  </si>
  <si>
    <t>Printed Circuit Board (PCB) WITHOUT components</t>
  </si>
  <si>
    <t>Semiconductors, Integrated Circuits</t>
  </si>
  <si>
    <t xml:space="preserve">Semiconductors, discrete </t>
  </si>
  <si>
    <t>Capacitors</t>
  </si>
  <si>
    <t>Resistors</t>
  </si>
  <si>
    <t>PWA, Generic PCB assembly (INCLUDING components) per gram</t>
  </si>
  <si>
    <t>PWA, Generic PCB assembly (INCLUDING components) per mm2</t>
  </si>
  <si>
    <t>mm2</t>
  </si>
  <si>
    <t>Other</t>
  </si>
  <si>
    <t>Sheetpressing 1-2 mm , big deformation</t>
  </si>
  <si>
    <t>kg of part</t>
  </si>
  <si>
    <t>Sheetpressing 1-2 mm , small deformation</t>
  </si>
  <si>
    <t>Injection moulding of plastic</t>
  </si>
  <si>
    <t>Punching, sheet &gt; 2 mm</t>
  </si>
  <si>
    <t>m cut</t>
  </si>
  <si>
    <t>Punching, sheet 1-2 mm</t>
  </si>
  <si>
    <t>Welding</t>
  </si>
  <si>
    <t>m welding</t>
  </si>
  <si>
    <t>Moulding of aluminium</t>
  </si>
  <si>
    <t>Moulding of zinc</t>
  </si>
  <si>
    <t>Wave soldering</t>
  </si>
  <si>
    <t>m2 soldering</t>
  </si>
  <si>
    <t>Alcaline degreasing (heating not included)</t>
  </si>
  <si>
    <t>m2 degreased</t>
  </si>
  <si>
    <t>Alcaline degreasing (heating of heavy parts)</t>
  </si>
  <si>
    <t>Bending, metalsheet &lt; 1 mm</t>
  </si>
  <si>
    <t>m bended</t>
  </si>
  <si>
    <t>Bending, metalsheet &gt; 2 mm</t>
  </si>
  <si>
    <t>Turning and milling of aluminium</t>
  </si>
  <si>
    <t>kg removed</t>
  </si>
  <si>
    <t>Truck, &gt; 16 ton, diesel, motorway</t>
  </si>
  <si>
    <t>kgkm</t>
  </si>
  <si>
    <t>Containerboat, 2-t, 28000 DWT</t>
  </si>
  <si>
    <t>Train, diesel</t>
  </si>
  <si>
    <t>Aeroplane start and landing</t>
  </si>
  <si>
    <t>Aeroplane cruising</t>
  </si>
  <si>
    <t>Danish power (1992)</t>
  </si>
  <si>
    <t>European Union power (1990)</t>
  </si>
  <si>
    <t>Natural Gas, combustion of, 1-50 MW</t>
  </si>
  <si>
    <t>kg Natural Gas</t>
  </si>
  <si>
    <t>Fuel Oil, combustion of, 1- 100MW</t>
  </si>
  <si>
    <t>kg Fuel Oil</t>
  </si>
  <si>
    <t>Primary Energy, unspecified</t>
  </si>
  <si>
    <t>http://www.ecodesignguide.dk/html_pages/down_load/index.html</t>
  </si>
  <si>
    <t>Kerosene ( fly-brændstof )</t>
  </si>
  <si>
    <t>Overall CO2 emmisioner i gram / kWh.</t>
  </si>
  <si>
    <t>Kilde: Elektor 03-2010, side 41</t>
  </si>
  <si>
    <t>Kulfyrede powerstationer, ( lignite )</t>
  </si>
  <si>
    <t>Kulfyrede powerstationer, ( anthracite )</t>
  </si>
  <si>
    <t>Gasfyrede powerstation</t>
  </si>
  <si>
    <t>Kernekraftværk</t>
  </si>
  <si>
    <t>Vindmøllefarm</t>
  </si>
  <si>
    <t>Hydroelektrisk powerstation</t>
  </si>
  <si>
    <t>Solcelle ( polycrystalline )</t>
  </si>
  <si>
    <t>( Incl. Fremstilling af kraftværkerne, beregnet med GEMIS )</t>
  </si>
  <si>
    <t>Basis Data</t>
  </si>
  <si>
    <t>Navn</t>
  </si>
  <si>
    <t>Energiforbrug til fremstilling [MJ/g] (=E-parameter)</t>
  </si>
  <si>
    <t>Ressource Indikator (R-parameter) [mPR]</t>
  </si>
  <si>
    <t>Energiforbrug til genvinding [MJ/g]</t>
  </si>
  <si>
    <t>Energi genvundet ved forbrænding [MJ/g]</t>
  </si>
  <si>
    <t>Plast mat</t>
  </si>
  <si>
    <t>ABS</t>
  </si>
  <si>
    <t>EPS, ekspanderet polystyren</t>
  </si>
  <si>
    <t>PA, polyamid</t>
  </si>
  <si>
    <t>PC, polykarbonat</t>
  </si>
  <si>
    <t>PE, polyethylen</t>
  </si>
  <si>
    <t>PET, polyethylen terephthalat</t>
  </si>
  <si>
    <t>PMMA, polymethylmetakrylat</t>
  </si>
  <si>
    <t>Polybutadien, syntetisk gummi</t>
  </si>
  <si>
    <t>POM, polyoximethylen (acetalplast)</t>
  </si>
  <si>
    <t>PP, polypropylen</t>
  </si>
  <si>
    <t>PS, polystyren</t>
  </si>
  <si>
    <t>PUR, polyurethan</t>
  </si>
  <si>
    <t>PVC, polyvinylchlorid</t>
  </si>
  <si>
    <t>SAN, styrenakrylnitril</t>
  </si>
  <si>
    <t>Plast, andre</t>
  </si>
  <si>
    <t>Gummi</t>
  </si>
  <si>
    <t>Andre mat</t>
  </si>
  <si>
    <t>Chrom (Cr)</t>
  </si>
  <si>
    <t>Nikkel, Ni</t>
  </si>
  <si>
    <t>Silicium</t>
  </si>
  <si>
    <t>Zink, Zn</t>
  </si>
  <si>
    <t>Produktion</t>
  </si>
  <si>
    <t>g emne</t>
  </si>
  <si>
    <t>Gummistøbning, syntetisk gummi</t>
  </si>
  <si>
    <t>Sprøjtestøbning (emnestørrelse &lt; 10 g PE/PP)</t>
  </si>
  <si>
    <t>Sprøjtestøbning (emnestørrelse &lt; 10 g PET)</t>
  </si>
  <si>
    <t>Sprøjtestøbning (emnestørrelse &gt; 100 g ABS)</t>
  </si>
  <si>
    <t>Sprøjtestøbning (emnestørrelse 10-100 g ABS)</t>
  </si>
  <si>
    <t>Sprøjtestøbning (emnestørrelse  10-100 g PA)</t>
  </si>
  <si>
    <t>Sprøjtestøbning (emnestørrelse  10-100 g SAN)</t>
  </si>
  <si>
    <t>Vacuumformning af ABS plader</t>
  </si>
  <si>
    <t>Sprøjtestøbning, andre plaster</t>
  </si>
  <si>
    <t>m2 affedtet</t>
  </si>
  <si>
    <t>Alkalisk affedtning (uden opvarmning)</t>
  </si>
  <si>
    <t>Alkalisk affedtning (opvarmning af tunge dele)</t>
  </si>
  <si>
    <t>m bukning</t>
  </si>
  <si>
    <t>Bukning af metalplade (tykkelse &lt; 1 mm)</t>
  </si>
  <si>
    <t>Bukning af metalplade (tykkelse &gt; 2 mm)</t>
  </si>
  <si>
    <t>Støbning af aluminium</t>
  </si>
  <si>
    <t>m snitflade</t>
  </si>
  <si>
    <t>Stansning i plade (tykkelse &gt;2mm)</t>
  </si>
  <si>
    <t>Stansning i plade (tykkelse 1-2 mm)</t>
  </si>
  <si>
    <t>Pladepresning (tykkelse 1-2 mm), stor deformation</t>
  </si>
  <si>
    <t>Pladepresning (tykkelse 1-2 mm), lille deformation</t>
  </si>
  <si>
    <t>Dreje og fræse aluminium</t>
  </si>
  <si>
    <t>m svejsesøm</t>
  </si>
  <si>
    <t xml:space="preserve">Dansk elektricitet (1992) </t>
  </si>
  <si>
    <t>EU elektricitet (1994)</t>
  </si>
  <si>
    <t>kg fuelolie</t>
  </si>
  <si>
    <t>Fuelolie, forbrænding af, 1-100 MW</t>
  </si>
  <si>
    <t>kg naturgas</t>
  </si>
  <si>
    <t>Naturgas, forbrænding af, 1-50 MW</t>
  </si>
  <si>
    <t>Primær energi, uspecificeret</t>
  </si>
  <si>
    <t>Transport</t>
  </si>
  <si>
    <t>Containerboat</t>
  </si>
  <si>
    <t>Tog, diesel</t>
  </si>
  <si>
    <t>Lastbil, &gt; 16 ton, diesel, motorvej</t>
  </si>
  <si>
    <t>Flytransport, start og landing</t>
  </si>
  <si>
    <t>Flytransport, flyvning</t>
  </si>
  <si>
    <t>Brugsfase</t>
  </si>
  <si>
    <t>Bortskaffelse plastmaterialer</t>
  </si>
  <si>
    <t>Bortskaffelse andre materialer</t>
  </si>
  <si>
    <t>Ulykker og lidelser pr. ton produkt</t>
  </si>
  <si>
    <t>DB93-kode</t>
  </si>
  <si>
    <t>Døds- ulykker</t>
  </si>
  <si>
    <t>Ulykker</t>
  </si>
  <si>
    <t>Kræft- sygdomme</t>
  </si>
  <si>
    <t>Psykiske lidelser</t>
  </si>
  <si>
    <t>CNS-funktions svækkelse</t>
  </si>
  <si>
    <t>Høre-skader</t>
  </si>
  <si>
    <t>Luftvejs sygdom  (ikke allergisk)</t>
  </si>
  <si>
    <t>Luftvejs- sygdom (allergisk)</t>
  </si>
  <si>
    <t>Hudsyg- domme</t>
  </si>
  <si>
    <t>Bevæge- apparat- sygdomme</t>
  </si>
  <si>
    <t>Råvareproduktion</t>
  </si>
  <si>
    <t>Note 1</t>
  </si>
  <si>
    <t>Råolie (1 liter)</t>
  </si>
  <si>
    <t>Naturgas (1 Nm3)</t>
  </si>
  <si>
    <t>Kul</t>
  </si>
  <si>
    <t>Ingen lidelser opgivet</t>
  </si>
  <si>
    <t>Elforsyning (distribueret kwh)</t>
  </si>
  <si>
    <t>Note 2</t>
  </si>
  <si>
    <t>Elproduktion (incl. råvarefremst. (kwh))</t>
  </si>
  <si>
    <t>Metaller</t>
  </si>
  <si>
    <t>Jern- og stålværker (Danmark)</t>
  </si>
  <si>
    <t>Note 3</t>
  </si>
  <si>
    <t>Jern- og stålværker (Sverige)</t>
  </si>
  <si>
    <t>Ingen sammenlignelige lidelser opgivet</t>
  </si>
  <si>
    <t>Bly, zink, tin</t>
  </si>
  <si>
    <t>Kobber (Danmark)</t>
  </si>
  <si>
    <t>Note 4</t>
  </si>
  <si>
    <t>Ingen lidelser og dødsulykker er opgivet</t>
  </si>
  <si>
    <t>Nickel</t>
  </si>
  <si>
    <t>Andre råmaterialer</t>
  </si>
  <si>
    <t>Kalkbrud</t>
  </si>
  <si>
    <t>Grus- og sandgravning</t>
  </si>
  <si>
    <t>Savværker</t>
  </si>
  <si>
    <t>Papir og papfremst.</t>
  </si>
  <si>
    <t>Bølgepap + embal.</t>
  </si>
  <si>
    <t>Andet papir og pap</t>
  </si>
  <si>
    <t>Cementproduktion</t>
  </si>
  <si>
    <t>Betonproduktion</t>
  </si>
  <si>
    <t>Forarbejdning/færdigvareproduktion</t>
  </si>
  <si>
    <t>Træprodukter</t>
  </si>
  <si>
    <t>Krydsfiner</t>
  </si>
  <si>
    <t>Træ til bygninger</t>
  </si>
  <si>
    <t>Andre træprodukter</t>
  </si>
  <si>
    <t>Kemiske produkter</t>
  </si>
  <si>
    <t>Mineralolieindustri</t>
  </si>
  <si>
    <t>Note 5</t>
  </si>
  <si>
    <t>2413-14</t>
  </si>
  <si>
    <t>Basiskemikalier</t>
  </si>
  <si>
    <t>Basisplast</t>
  </si>
  <si>
    <t>Sæbe og vaskemiddel</t>
  </si>
  <si>
    <t>Andre kemiske produkter</t>
  </si>
  <si>
    <t>Gummiprodukter</t>
  </si>
  <si>
    <t>Note 6</t>
  </si>
  <si>
    <t>Plastprodukter</t>
  </si>
  <si>
    <t>Plastprodukter - brancheniveau</t>
  </si>
  <si>
    <t>Plader, rør af plast</t>
  </si>
  <si>
    <t>Plader ark</t>
  </si>
  <si>
    <t>Rør og slanger</t>
  </si>
  <si>
    <t>Stænger og profiler</t>
  </si>
  <si>
    <t>Plastemballage</t>
  </si>
  <si>
    <t>Sanitets og bygningsartikler af plast</t>
  </si>
  <si>
    <t>Sanitetsartikler</t>
  </si>
  <si>
    <t>Bygningsartikler</t>
  </si>
  <si>
    <t>Andre plastprodukter</t>
  </si>
  <si>
    <t>Kontor og skole</t>
  </si>
  <si>
    <t>Bordservice og køkkenudstyr</t>
  </si>
  <si>
    <t>Andre plastprodukter i øvrigt</t>
  </si>
  <si>
    <t>Glas og keramik</t>
  </si>
  <si>
    <t>Planglas</t>
  </si>
  <si>
    <t>Flasker og drikkeglas</t>
  </si>
  <si>
    <t>Keramik (hush)</t>
  </si>
  <si>
    <t>Isolering</t>
  </si>
  <si>
    <t>Fortrolige oplysninger</t>
  </si>
  <si>
    <t>Byggevarer</t>
  </si>
  <si>
    <t>Teglværker</t>
  </si>
  <si>
    <t>Betonvarer</t>
  </si>
  <si>
    <t>Betonelementer</t>
  </si>
  <si>
    <t>Fibercementprodukter</t>
  </si>
  <si>
    <t>Jern- og metalprodukter</t>
  </si>
  <si>
    <t>Jern- og stålrør</t>
  </si>
  <si>
    <t>Koldtrækning af jern og stål</t>
  </si>
  <si>
    <t>Metalkonstruktioner</t>
  </si>
  <si>
    <t>Konservesdåser</t>
  </si>
  <si>
    <t>Skruer, bolte fjedre</t>
  </si>
  <si>
    <t>Andre færdige metalprodukter</t>
  </si>
  <si>
    <t>Haner og ventiler</t>
  </si>
  <si>
    <t>Note 7</t>
  </si>
  <si>
    <t>Overfladebehandling af metal</t>
  </si>
  <si>
    <t>Kan ikke beregnes ? Anden opgørelse ?</t>
  </si>
  <si>
    <t>Tekstiler</t>
  </si>
  <si>
    <t>Forbehandling og spinding</t>
  </si>
  <si>
    <t>Vævning</t>
  </si>
  <si>
    <t>Pullovere og cardigans</t>
  </si>
  <si>
    <t>Garverier</t>
  </si>
  <si>
    <t>Trykte og integrerede kredsløb</t>
  </si>
  <si>
    <t>Færdigvareproduktion/montering</t>
  </si>
  <si>
    <t>Væskepumper</t>
  </si>
  <si>
    <t>Køle- og fryseanlæg til erhverv</t>
  </si>
  <si>
    <t>Køleskabe, dybrysere</t>
  </si>
  <si>
    <t xml:space="preserve">Komfurer, ovne m.v. </t>
  </si>
  <si>
    <t>Støvsugere o.l.</t>
  </si>
  <si>
    <t>Belysningsarmaturer mv</t>
  </si>
  <si>
    <t>Radioer, tv, o.l</t>
  </si>
  <si>
    <t>Stole og siddemøbler</t>
  </si>
  <si>
    <t>Kontor og butiksmøbler</t>
  </si>
  <si>
    <t>Ulykker og lidelser per ton-kilometer</t>
  </si>
  <si>
    <t>Note 8</t>
  </si>
  <si>
    <t>Jernbanetransport</t>
  </si>
  <si>
    <t>632110</t>
  </si>
  <si>
    <t>Stationer og godsterminaler</t>
  </si>
  <si>
    <t>Lastbilstransport</t>
  </si>
  <si>
    <t>602410</t>
  </si>
  <si>
    <t>Vognmandsvirksomhed</t>
  </si>
  <si>
    <t>631100</t>
  </si>
  <si>
    <t>Godsbehandling</t>
  </si>
  <si>
    <t>Ulykker og lidelser per ton transporteret</t>
  </si>
  <si>
    <t>Note 9</t>
  </si>
  <si>
    <t>Skibstransport</t>
  </si>
  <si>
    <t>611010</t>
  </si>
  <si>
    <t>Rederivirksomhed, fragtfart</t>
  </si>
  <si>
    <t>Rederivirksomhed, passagerfart</t>
  </si>
  <si>
    <t>632210</t>
  </si>
  <si>
    <t>Erhvervshavne</t>
  </si>
  <si>
    <t>Note 10</t>
  </si>
  <si>
    <t>Handelsskibe og passagerskibe</t>
  </si>
  <si>
    <t>Forklarende noter</t>
  </si>
  <si>
    <t>Beregnet for 1995-97 på baggrund af oplysninger  i Danmarks olie- og gasproduktion 1997. Energistyrelsen</t>
  </si>
  <si>
    <t>Kun lidelserne høreskader, hudsygdomme og bevægapparatsygdomme er opgivet.</t>
  </si>
  <si>
    <t xml:space="preserve">Disse data indeholder et samlet tal for ulykker og lidelser ved råvarefremstilling af råolie, gas og kul, samt ulykker og lidelser ved elproduktion </t>
  </si>
  <si>
    <t>(401000 elforsyning).</t>
  </si>
  <si>
    <t>Bemærk, at de samlede lidelser er undervurderet, da der for olie og naturgas kun er opgivet lidelser for høreskader, hudsygdomme og bevæg-</t>
  </si>
  <si>
    <t>apparatsskader. Desuden er der for kul slet ikke opgivet lidelser. De samlede angivede lidelser er en summering af de lidelser, der er opgivet</t>
  </si>
  <si>
    <t>for olie, naturgas, kul og elproduktion.</t>
  </si>
  <si>
    <t>Beregnet ud fra svensk stålproduktion. Gennemsnit er her fra 1994-1996.</t>
  </si>
  <si>
    <t>Ud over ulykker er der opgivet lidelserne eksem og allergi. Disse er imidlertid ikke direkte sammenlignelige</t>
  </si>
  <si>
    <t>Beregnet på baggrund af oplysninger fra WMC (1996 eller gns. af 1996/1997). WWW-adresse:</t>
  </si>
  <si>
    <t>Basiskemikalier er branche 241300 "Fremst. af andre uorganiske basiskemikalier" og 241400 "Fremst. af andre organiske basiskemikalier"</t>
  </si>
  <si>
    <t>Bemærk forskelligt NACE-kode niveau (3-, 4-, og 5-cifret)</t>
  </si>
  <si>
    <t>Varestatistikken er ikke opgivet på samme basis her. Lønarbejde.</t>
  </si>
  <si>
    <t>Både national og international transport med danske vognmænd, da ulykker opgives for både national og international kørsel</t>
  </si>
  <si>
    <t>Bemærk, at skibstransport opgives i ulykker og lidelser per ton og ikke erp ton-kilometer.</t>
  </si>
  <si>
    <t>Bemærk desuden, at tallene også dækker over passagertransport, da der også sker transport af varer i forbindelse med passagertransport.</t>
  </si>
  <si>
    <t>Skibstransport beregnes som national transport, da der ikke skelnes mellem skibe af dansk eller udenlandsk herkomst.</t>
  </si>
  <si>
    <t>Der er således beregnet arbejdsulykker ifm. danske skibe og transport af danske og udenlandske skibe i danske farvande.</t>
  </si>
  <si>
    <t>For 1996 er der ikke opgivet arbejdsbetingede lidelser. Gennemsnit beregnes således for to år.</t>
  </si>
  <si>
    <t>Desuden opgives lidelserne lidt anderledes, da tal stammer fra Søfartsstyrelsen og ikke Arbejdstilsynet.</t>
  </si>
  <si>
    <t>GWP values and lifetimes from 2013 IPCC AR5 p1071</t>
  </si>
  <si>
    <t>Lifetime (years)</t>
  </si>
  <si>
    <t>GWP time horizon</t>
  </si>
  <si>
    <t>20 years</t>
  </si>
  <si>
    <t>100 years</t>
  </si>
  <si>
    <t>Methane</t>
  </si>
  <si>
    <t>12.4</t>
  </si>
  <si>
    <r>
      <t>HFC-134a</t>
    </r>
    <r>
      <rPr>
        <sz val="10"/>
        <color indexed="8"/>
        <rFont val="Arial"/>
        <family val="2"/>
      </rPr>
      <t> (</t>
    </r>
    <r>
      <rPr>
        <sz val="10"/>
        <color indexed="18"/>
        <rFont val="Arial"/>
        <family val="2"/>
      </rPr>
      <t>hydrofluorocarbon</t>
    </r>
    <r>
      <rPr>
        <sz val="10"/>
        <color indexed="8"/>
        <rFont val="Arial"/>
        <family val="2"/>
      </rPr>
      <t>)</t>
    </r>
  </si>
  <si>
    <t>13.4</t>
  </si>
  <si>
    <r>
      <t>CFC-11</t>
    </r>
    <r>
      <rPr>
        <sz val="10"/>
        <color indexed="8"/>
        <rFont val="Arial"/>
        <family val="2"/>
      </rPr>
      <t> (</t>
    </r>
    <r>
      <rPr>
        <sz val="10"/>
        <color indexed="18"/>
        <rFont val="Arial"/>
        <family val="2"/>
      </rPr>
      <t>chlorofluorocarbon</t>
    </r>
    <r>
      <rPr>
        <sz val="10"/>
        <color indexed="8"/>
        <rFont val="Arial"/>
        <family val="2"/>
      </rPr>
      <t>)</t>
    </r>
  </si>
  <si>
    <t>45.0</t>
  </si>
  <si>
    <t>Nitrous oxide</t>
  </si>
  <si>
    <t>121.0</t>
  </si>
  <si>
    <r>
      <t>Carbon tetrafluoride</t>
    </r>
    <r>
      <rPr>
        <u/>
        <sz val="10"/>
        <color indexed="12"/>
        <rFont val="Arial"/>
        <family val="2"/>
      </rPr>
      <t> (CF4)</t>
    </r>
  </si>
  <si>
    <t>Global Warming Potential (Time Horizon)</t>
  </si>
  <si>
    <t>Species</t>
  </si>
  <si>
    <t>Chemical formula</t>
  </si>
  <si>
    <t>500 years</t>
  </si>
  <si>
    <r>
      <t>CO</t>
    </r>
    <r>
      <rPr>
        <vertAlign val="subscript"/>
        <sz val="9"/>
        <color indexed="23"/>
        <rFont val="Arial"/>
        <family val="2"/>
      </rPr>
      <t>2</t>
    </r>
  </si>
  <si>
    <t>variable §</t>
  </si>
  <si>
    <t>Methane *</t>
  </si>
  <si>
    <r>
      <t>CH</t>
    </r>
    <r>
      <rPr>
        <vertAlign val="subscript"/>
        <sz val="9"/>
        <color indexed="23"/>
        <rFont val="Arial"/>
        <family val="2"/>
      </rPr>
      <t>4</t>
    </r>
  </si>
  <si>
    <t>12±3</t>
  </si>
  <si>
    <t>6.5</t>
  </si>
  <si>
    <r>
      <t>N</t>
    </r>
    <r>
      <rPr>
        <vertAlign val="subscript"/>
        <sz val="9"/>
        <color indexed="23"/>
        <rFont val="Arial"/>
        <family val="2"/>
      </rPr>
      <t>2</t>
    </r>
    <r>
      <rPr>
        <sz val="9"/>
        <color indexed="23"/>
        <rFont val="Arial"/>
        <family val="2"/>
      </rPr>
      <t>O</t>
    </r>
  </si>
  <si>
    <t>HFC-23</t>
  </si>
  <si>
    <t>CHF3</t>
  </si>
  <si>
    <t>HFC-32</t>
  </si>
  <si>
    <t>CH2F2</t>
  </si>
  <si>
    <t>5.6</t>
  </si>
  <si>
    <t>HFC-41</t>
  </si>
  <si>
    <t>CH3F</t>
  </si>
  <si>
    <t>3.7</t>
  </si>
  <si>
    <t>HFC-43-10mee</t>
  </si>
  <si>
    <t>C5H2F10</t>
  </si>
  <si>
    <t>17.1</t>
  </si>
  <si>
    <t>HFC-125</t>
  </si>
  <si>
    <t>C2HF5</t>
  </si>
  <si>
    <t>32.6</t>
  </si>
  <si>
    <t>HFC-134</t>
  </si>
  <si>
    <t>C2H2F4</t>
  </si>
  <si>
    <t>10.6</t>
  </si>
  <si>
    <t>HFC-134a</t>
  </si>
  <si>
    <t>CH2FCF3</t>
  </si>
  <si>
    <t>14.6</t>
  </si>
  <si>
    <t>HFC-152a</t>
  </si>
  <si>
    <t>C2H4F2</t>
  </si>
  <si>
    <t>1.5</t>
  </si>
  <si>
    <t>HFC-143</t>
  </si>
  <si>
    <t>C2H3F3</t>
  </si>
  <si>
    <t>3.8</t>
  </si>
  <si>
    <t>HFC-143a</t>
  </si>
  <si>
    <t>48.3</t>
  </si>
  <si>
    <t>HFC-227ea</t>
  </si>
  <si>
    <t>C3HF7</t>
  </si>
  <si>
    <t>36.5</t>
  </si>
  <si>
    <t>HFC-236fa</t>
  </si>
  <si>
    <t>C3H2F6</t>
  </si>
  <si>
    <t>HFC-245ca</t>
  </si>
  <si>
    <t>C3H3F5</t>
  </si>
  <si>
    <t>6.6</t>
  </si>
  <si>
    <t>Sulphur hexafluoride</t>
  </si>
  <si>
    <t>SF6</t>
  </si>
  <si>
    <t>Perfluoromethane</t>
  </si>
  <si>
    <t>CF4</t>
  </si>
  <si>
    <t>Perfluoroethane</t>
  </si>
  <si>
    <t>C2F6</t>
  </si>
  <si>
    <t>Perfluoropropane</t>
  </si>
  <si>
    <t>C3F8</t>
  </si>
  <si>
    <t>Perfluorobutane</t>
  </si>
  <si>
    <t>C4F10</t>
  </si>
  <si>
    <t>Perfluorocyclobutane</t>
  </si>
  <si>
    <t>c-C4F8</t>
  </si>
  <si>
    <t>Perfluoropentane</t>
  </si>
  <si>
    <t>C5F12</t>
  </si>
  <si>
    <t>Perfluorohexane</t>
  </si>
  <si>
    <t>C6F14</t>
  </si>
  <si>
    <t>IPCC, EPA Reporting Program GHG Registry or all</t>
  </si>
  <si>
    <t>Global Warming Potential (100 year)</t>
  </si>
  <si>
    <t>Carbon dioxide</t>
  </si>
  <si>
    <t>Both</t>
  </si>
  <si>
    <t>CH4</t>
  </si>
  <si>
    <t xml:space="preserve">Both </t>
  </si>
  <si>
    <t>N2O</t>
  </si>
  <si>
    <t>CFC-11</t>
  </si>
  <si>
    <t>IPCC</t>
  </si>
  <si>
    <t>CCl3F</t>
  </si>
  <si>
    <t>CFC-12</t>
  </si>
  <si>
    <t>CCl2F2</t>
  </si>
  <si>
    <t>CFC-13</t>
  </si>
  <si>
    <t>CClF3</t>
  </si>
  <si>
    <t>CFC-113</t>
  </si>
  <si>
    <t>CCl2FCClF2</t>
  </si>
  <si>
    <t>CFC-114</t>
  </si>
  <si>
    <t>CClF2CClF2</t>
  </si>
  <si>
    <t>CFC-115</t>
  </si>
  <si>
    <t>CClF2CF3</t>
  </si>
  <si>
    <t>Halon-1301</t>
  </si>
  <si>
    <t>CBrF3</t>
  </si>
  <si>
    <t>Halon-1211</t>
  </si>
  <si>
    <t>CBrClF2</t>
  </si>
  <si>
    <t>Halon-2402</t>
  </si>
  <si>
    <t>CBrF2CBrF2</t>
  </si>
  <si>
    <t>Carbon tetrachloride</t>
  </si>
  <si>
    <t>CCl4</t>
  </si>
  <si>
    <t>Methyl bromide</t>
  </si>
  <si>
    <t>CH3Br</t>
  </si>
  <si>
    <t>Methyl chloroform</t>
  </si>
  <si>
    <t>CH3CCl3</t>
  </si>
  <si>
    <t>HCFC-22</t>
  </si>
  <si>
    <t>CHClF2</t>
  </si>
  <si>
    <t>HCFC-123</t>
  </si>
  <si>
    <t>CHCl2CF3</t>
  </si>
  <si>
    <t>HCFC-124</t>
  </si>
  <si>
    <t>CHClFCF3</t>
  </si>
  <si>
    <t>HCFC-141b</t>
  </si>
  <si>
    <t>CH3CCl2F</t>
  </si>
  <si>
    <t>HCFC-142b</t>
  </si>
  <si>
    <t>CH3CClF2</t>
  </si>
  <si>
    <t>HCFC-225ca</t>
  </si>
  <si>
    <t>CHCl2CF2CF3</t>
  </si>
  <si>
    <t>HCFC-225cb</t>
  </si>
  <si>
    <t>CHClFCF2CClF2</t>
  </si>
  <si>
    <t>HFC-23: Trifluoromethane</t>
  </si>
  <si>
    <t>CHF2CF3</t>
  </si>
  <si>
    <t>CH3CF3</t>
  </si>
  <si>
    <t>CH3CHF2</t>
  </si>
  <si>
    <t>CF3CHFCF3</t>
  </si>
  <si>
    <t>CF3CH2CF3</t>
  </si>
  <si>
    <t>HFC-245fa</t>
  </si>
  <si>
    <t>CHF2CH2CF3</t>
  </si>
  <si>
    <t>HFC-365mfc</t>
  </si>
  <si>
    <t>CH3CF2CH2CF3</t>
  </si>
  <si>
    <t>CF3CHFCHFCF2CF3</t>
  </si>
  <si>
    <t>Nitrogen trifluoride</t>
  </si>
  <si>
    <t>NF3</t>
  </si>
  <si>
    <t>PFC–14 (Perfluoromethane)</t>
  </si>
  <si>
    <t>PFC–116 (Perfluoroethane)</t>
  </si>
  <si>
    <t>PFC–218 (Perfluoropropane)</t>
  </si>
  <si>
    <t>PFC–3–1–10 (Perfluorobutane)</t>
  </si>
  <si>
    <t>PFC–4–1–12 (Perfluoropentane)</t>
  </si>
  <si>
    <t>PFC–5–1–14 (Perfluorohexane)</t>
  </si>
  <si>
    <t>PFC–9–1–18</t>
  </si>
  <si>
    <t>C10F18</t>
  </si>
  <si>
    <t>trifluoromethyl sulphur pentafluoride</t>
  </si>
  <si>
    <t>SF5CF3</t>
  </si>
  <si>
    <t>HFE-125</t>
  </si>
  <si>
    <t>CHF2OCF3</t>
  </si>
  <si>
    <t>HFE-134</t>
  </si>
  <si>
    <t>CHF2OCHF2</t>
  </si>
  <si>
    <t>HFE-143a</t>
  </si>
  <si>
    <t>CH3OCF3</t>
  </si>
  <si>
    <t>HCFE–235da2 (Isoflurane)</t>
  </si>
  <si>
    <t>CHF2OCHClCF3</t>
  </si>
  <si>
    <t>HFE-245cb2</t>
  </si>
  <si>
    <t>CH3OCF2CHF2</t>
  </si>
  <si>
    <t>HFE-245fa2</t>
  </si>
  <si>
    <t>CHF2OCH2CF3</t>
  </si>
  <si>
    <t>HFE-254cb2</t>
  </si>
  <si>
    <t>HFE-347mcc3</t>
  </si>
  <si>
    <t>CH3OCF2CF2CF3</t>
  </si>
  <si>
    <t>HFE-347pcf2</t>
  </si>
  <si>
    <t>CHF2CF2OCH2CF3</t>
  </si>
  <si>
    <t>HFE-356pcc3</t>
  </si>
  <si>
    <t>CH3OCF2CF2CHF2</t>
  </si>
  <si>
    <t xml:space="preserve">HFE–449sl (HFE–7100) Chemical blend </t>
  </si>
  <si>
    <t>C4F9OCH3</t>
  </si>
  <si>
    <t xml:space="preserve">HFE–569sf2 (HFE–7200) Chemical blend </t>
  </si>
  <si>
    <t>C4F9OC2H5</t>
  </si>
  <si>
    <t>HFE-43-10pccc124 (H-Galden 1040x)</t>
  </si>
  <si>
    <t>CHF2OCF2OC2F4OCHF2</t>
  </si>
  <si>
    <t>HFE-236ca12 (HG-10)</t>
  </si>
  <si>
    <t>CHF2OCF2OCHF2</t>
  </si>
  <si>
    <t>HFE-338pcc13 (HG-01)</t>
  </si>
  <si>
    <t>CHF2OCF2CF2OCHF2</t>
  </si>
  <si>
    <t>PFPMIE</t>
  </si>
  <si>
    <t>CF3OCF(CF3)CF2OCF2OCF3</t>
  </si>
  <si>
    <t>Dimethylether</t>
  </si>
  <si>
    <t>CH3OCH3</t>
  </si>
  <si>
    <t>Methylene chloride</t>
  </si>
  <si>
    <t>CH2Cl2</t>
  </si>
  <si>
    <t>Methyl chloride</t>
  </si>
  <si>
    <t>CH3Cl</t>
  </si>
  <si>
    <t>HFE-227ea</t>
  </si>
  <si>
    <t>EPA Rep. Program</t>
  </si>
  <si>
    <t>CF3CHFOCF3</t>
  </si>
  <si>
    <t>HFE–236ea2 (Desflurane)</t>
  </si>
  <si>
    <t>CHF2OCHFCF3</t>
  </si>
  <si>
    <t>HFE 236fa</t>
  </si>
  <si>
    <t>CF3CH2OCF3</t>
  </si>
  <si>
    <t>HFE-245fa1</t>
  </si>
  <si>
    <t>CHF2CH2OCF3</t>
  </si>
  <si>
    <t>HFE 263fb2</t>
  </si>
  <si>
    <t>CF3CH2OCH3</t>
  </si>
  <si>
    <t>HFE-329mcc2</t>
  </si>
  <si>
    <t>CF3CF2OCF2CHF2</t>
  </si>
  <si>
    <t>HFE 338mcf2</t>
  </si>
  <si>
    <t>CF3CF2OCH2CF3</t>
  </si>
  <si>
    <t>HFE-347mcf2</t>
  </si>
  <si>
    <t>CF3CF2OCH2CHF2</t>
  </si>
  <si>
    <t>HFE–347mmy1</t>
  </si>
  <si>
    <t>CH3OCF(CF3)2</t>
  </si>
  <si>
    <t>HFE-356mec3</t>
  </si>
  <si>
    <t>CH3OCF2CHFCF3</t>
  </si>
  <si>
    <t>HFE–356mm1</t>
  </si>
  <si>
    <t>(CF3)2CHOCH3</t>
  </si>
  <si>
    <t>HFE-356pcf2</t>
  </si>
  <si>
    <t>CHF2CH2OCF2CHF2</t>
  </si>
  <si>
    <r>
      <t>HFE-356pcf3</t>
    </r>
    <r>
      <rPr>
        <vertAlign val="superscript"/>
        <sz val="9"/>
        <rFont val="Arial"/>
        <family val="2"/>
      </rPr>
      <t>b</t>
    </r>
  </si>
  <si>
    <t>CHF2OCH2CF2CHF2</t>
  </si>
  <si>
    <t>HFE–338mmz1</t>
  </si>
  <si>
    <t>CHF2OCH(CF3)2</t>
  </si>
  <si>
    <r>
      <t>HFE-374pc2</t>
    </r>
    <r>
      <rPr>
        <vertAlign val="superscript"/>
        <sz val="9"/>
        <rFont val="Arial"/>
        <family val="2"/>
      </rPr>
      <t>a,b</t>
    </r>
  </si>
  <si>
    <t>CH3CH2OCF2CHF2</t>
  </si>
  <si>
    <t>(CF3)2CFCF2OCH3</t>
  </si>
  <si>
    <t>HFC–161</t>
  </si>
  <si>
    <t>CH3CH2F</t>
  </si>
  <si>
    <t>HFC–134</t>
  </si>
  <si>
    <t>HFE–365mcf3</t>
  </si>
  <si>
    <t>CF3CF2CH2OCH3</t>
  </si>
  <si>
    <t>2,2,3,3,3pentafluoropropanol</t>
  </si>
  <si>
    <t>CF3CF2CH2OH</t>
  </si>
  <si>
    <t>HFC–143</t>
  </si>
  <si>
    <t>HFC–236ea</t>
  </si>
  <si>
    <t>CHF2CHFCF3</t>
  </si>
  <si>
    <t>HFC–41</t>
  </si>
  <si>
    <t>HFC–152</t>
  </si>
  <si>
    <t>CH2FCH2F</t>
  </si>
  <si>
    <t>HFC–236cb</t>
  </si>
  <si>
    <t>CH2FCF2CF3</t>
  </si>
  <si>
    <t>HFC–245ca</t>
  </si>
  <si>
    <t>Bis(trifluoromethyl)methanol</t>
  </si>
  <si>
    <t>(CF3)2CHOH</t>
  </si>
  <si>
    <t>Perfluorocyclopropane</t>
  </si>
  <si>
    <t>CC3F6</t>
  </si>
  <si>
    <t xml:space="preserve">Sevoflurane </t>
  </si>
  <si>
    <t>CH2FOCH(CF3)2</t>
  </si>
  <si>
    <t>HFE–356pcc3</t>
  </si>
  <si>
    <t>(Octafluorotetramethy lene)hydroxymethyl group</t>
  </si>
  <si>
    <t>X(CF2)4CH(OH)X</t>
  </si>
  <si>
    <t>Chemical 
Formula</t>
  </si>
  <si>
    <t>Industrial 
Chemical
Reduced</t>
  </si>
  <si>
    <t>Glossary &amp; Conversion Factors</t>
  </si>
  <si>
    <t>Abbreviation</t>
  </si>
  <si>
    <t>Meaning</t>
  </si>
  <si>
    <t>GHG</t>
  </si>
  <si>
    <t>Greenhouse Gas</t>
  </si>
  <si>
    <r>
      <t>MMTCO</t>
    </r>
    <r>
      <rPr>
        <vertAlign val="subscript"/>
        <sz val="10"/>
        <rFont val="Arial"/>
        <family val="2"/>
      </rPr>
      <t>2</t>
    </r>
    <r>
      <rPr>
        <sz val="10"/>
        <rFont val="Arial"/>
        <family val="2"/>
      </rPr>
      <t>e</t>
    </r>
  </si>
  <si>
    <t>Million Metric Tons Carbon Dioxide Equivalent</t>
  </si>
  <si>
    <r>
      <t>MTCO</t>
    </r>
    <r>
      <rPr>
        <vertAlign val="subscript"/>
        <sz val="10"/>
        <rFont val="Arial"/>
        <family val="2"/>
      </rPr>
      <t>2</t>
    </r>
    <r>
      <rPr>
        <sz val="10"/>
        <rFont val="Arial"/>
        <family val="2"/>
      </rPr>
      <t>e</t>
    </r>
  </si>
  <si>
    <t>Metric Ton Carbon Dioxide Equivalent</t>
  </si>
  <si>
    <t>MMTCe</t>
  </si>
  <si>
    <t>Million Metric Tons Carbon Equivalent</t>
  </si>
  <si>
    <t>MTCe</t>
  </si>
  <si>
    <t>Metric Tons Carbon Equivalent</t>
  </si>
  <si>
    <r>
      <t>CO</t>
    </r>
    <r>
      <rPr>
        <vertAlign val="subscript"/>
        <sz val="10"/>
        <rFont val="Arial"/>
        <family val="2"/>
      </rPr>
      <t>2</t>
    </r>
    <r>
      <rPr>
        <sz val="10"/>
        <rFont val="Arial"/>
        <family val="2"/>
      </rPr>
      <t>eq</t>
    </r>
  </si>
  <si>
    <t>Carbon Dioxide Equivalent</t>
  </si>
  <si>
    <t>kwh</t>
  </si>
  <si>
    <t>Kilowatt hour</t>
  </si>
  <si>
    <t>BTU</t>
  </si>
  <si>
    <t>British thermal unit</t>
  </si>
  <si>
    <t>MBTU</t>
  </si>
  <si>
    <t>Thousand BTU</t>
  </si>
  <si>
    <t>MMBTU</t>
  </si>
  <si>
    <t>Million BTU</t>
  </si>
  <si>
    <t>lbs.</t>
  </si>
  <si>
    <t>Pound</t>
  </si>
  <si>
    <t>Kilogram</t>
  </si>
  <si>
    <t>Prefixes</t>
  </si>
  <si>
    <t xml:space="preserve">                Factor</t>
  </si>
  <si>
    <t>Kilo</t>
  </si>
  <si>
    <t>=</t>
  </si>
  <si>
    <t>Mega</t>
  </si>
  <si>
    <t>Giga</t>
  </si>
  <si>
    <t>Tera</t>
  </si>
  <si>
    <t>Useful Conversions</t>
  </si>
  <si>
    <t>mile</t>
  </si>
  <si>
    <t>kilometers</t>
  </si>
  <si>
    <t>Metric Ton (tonne)</t>
  </si>
  <si>
    <t>kg Carbon Equivalent</t>
  </si>
  <si>
    <t>kg Carbon Dioxide Equivalent</t>
  </si>
  <si>
    <t>MTCE</t>
  </si>
  <si>
    <t>short ton</t>
  </si>
  <si>
    <t>metric tons</t>
  </si>
  <si>
    <t>liter</t>
  </si>
  <si>
    <t>gallons</t>
  </si>
  <si>
    <t>gallon</t>
  </si>
  <si>
    <t>liters</t>
  </si>
  <si>
    <t>barrel petroleum</t>
  </si>
  <si>
    <t>therms</t>
  </si>
  <si>
    <t>cubic feet</t>
  </si>
  <si>
    <t>Global Warming Potentials</t>
  </si>
  <si>
    <r>
      <t>CO</t>
    </r>
    <r>
      <rPr>
        <vertAlign val="subscript"/>
        <sz val="10"/>
        <rFont val="Arial"/>
        <family val="2"/>
      </rPr>
      <t>2</t>
    </r>
  </si>
  <si>
    <r>
      <t>CO</t>
    </r>
    <r>
      <rPr>
        <vertAlign val="subscript"/>
        <sz val="10"/>
        <rFont val="Arial"/>
        <family val="2"/>
      </rPr>
      <t>2</t>
    </r>
    <r>
      <rPr>
        <sz val="10"/>
        <rFont val="Arial"/>
        <family val="2"/>
      </rPr>
      <t>e</t>
    </r>
  </si>
  <si>
    <r>
      <t>CH</t>
    </r>
    <r>
      <rPr>
        <vertAlign val="subscript"/>
        <sz val="10"/>
        <rFont val="Arial"/>
        <family val="2"/>
      </rPr>
      <t>4</t>
    </r>
  </si>
  <si>
    <r>
      <t>N</t>
    </r>
    <r>
      <rPr>
        <vertAlign val="subscript"/>
        <sz val="10"/>
        <rFont val="Arial"/>
        <family val="2"/>
      </rPr>
      <t>2</t>
    </r>
    <r>
      <rPr>
        <sz val="10"/>
        <rFont val="Arial"/>
        <family val="2"/>
      </rPr>
      <t>O</t>
    </r>
  </si>
  <si>
    <t>Emission Factors for Greenhouse Gas Inventories</t>
  </si>
  <si>
    <t>Last Modified: 7 November 2011</t>
  </si>
  <si>
    <r>
      <t>Typically, greenhouse gas emissions are reported in units of carbon dioxide equivalent (CO</t>
    </r>
    <r>
      <rPr>
        <vertAlign val="subscript"/>
        <sz val="10"/>
        <rFont val="Geneva"/>
      </rPr>
      <t>2</t>
    </r>
    <r>
      <rPr>
        <sz val="10"/>
        <rFont val="Geneva"/>
      </rPr>
      <t>e).  Gases are converted to CO</t>
    </r>
    <r>
      <rPr>
        <vertAlign val="subscript"/>
        <sz val="10"/>
        <rFont val="Geneva"/>
      </rPr>
      <t>2</t>
    </r>
    <r>
      <rPr>
        <sz val="10"/>
        <rFont val="Geneva"/>
      </rPr>
      <t>e by multiplying by the gas' global warming potential (GWP).  The emission factors listed in this sheet have not been converted to CO</t>
    </r>
    <r>
      <rPr>
        <vertAlign val="subscript"/>
        <sz val="10"/>
        <rFont val="Geneva"/>
      </rPr>
      <t>2</t>
    </r>
    <r>
      <rPr>
        <sz val="10"/>
        <rFont val="Geneva"/>
      </rPr>
      <t xml:space="preserve">e.  In order to do so, multiply the emissions by the corresponding GWP listed in the table below. </t>
    </r>
  </si>
  <si>
    <t>Gas</t>
  </si>
  <si>
    <t>GWP</t>
  </si>
  <si>
    <r>
      <t>CH</t>
    </r>
    <r>
      <rPr>
        <vertAlign val="subscript"/>
        <sz val="10"/>
        <rFont val="Geneva"/>
      </rPr>
      <t>4</t>
    </r>
  </si>
  <si>
    <r>
      <t>N</t>
    </r>
    <r>
      <rPr>
        <vertAlign val="subscript"/>
        <sz val="10"/>
        <rFont val="Geneva"/>
      </rPr>
      <t>2</t>
    </r>
    <r>
      <rPr>
        <sz val="10"/>
        <rFont val="Geneva"/>
      </rPr>
      <t>O</t>
    </r>
  </si>
  <si>
    <r>
      <rPr>
        <b/>
        <sz val="10"/>
        <rFont val="Geneva"/>
      </rPr>
      <t xml:space="preserve">Source: </t>
    </r>
    <r>
      <rPr>
        <b/>
        <sz val="9"/>
        <rFont val="Geneva"/>
      </rPr>
      <t xml:space="preserve">
</t>
    </r>
    <r>
      <rPr>
        <sz val="9"/>
        <rFont val="Geneva"/>
      </rPr>
      <t xml:space="preserve">Intergovernmental Panel on Climate Change (IPCC) (1995); 
Second Assessment Report. </t>
    </r>
  </si>
  <si>
    <t>Table 1</t>
  </si>
  <si>
    <t xml:space="preserve">   Stationary Combustion Emission Factors</t>
  </si>
  <si>
    <t>Fuel Type</t>
  </si>
  <si>
    <t>Heating Value</t>
  </si>
  <si>
    <r>
      <t>CO</t>
    </r>
    <r>
      <rPr>
        <b/>
        <vertAlign val="subscript"/>
        <sz val="10"/>
        <rFont val="Geneva"/>
      </rPr>
      <t>2</t>
    </r>
    <r>
      <rPr>
        <b/>
        <sz val="10"/>
        <rFont val="Geneva"/>
      </rPr>
      <t xml:space="preserve"> Factor</t>
    </r>
  </si>
  <si>
    <r>
      <t>CH</t>
    </r>
    <r>
      <rPr>
        <b/>
        <vertAlign val="subscript"/>
        <sz val="10"/>
        <rFont val="Geneva"/>
      </rPr>
      <t>4</t>
    </r>
    <r>
      <rPr>
        <b/>
        <sz val="10"/>
        <rFont val="Geneva"/>
      </rPr>
      <t xml:space="preserve"> Factor</t>
    </r>
  </si>
  <si>
    <r>
      <t>N</t>
    </r>
    <r>
      <rPr>
        <b/>
        <vertAlign val="subscript"/>
        <sz val="10"/>
        <rFont val="Geneva"/>
      </rPr>
      <t>2</t>
    </r>
    <r>
      <rPr>
        <b/>
        <sz val="10"/>
        <rFont val="Geneva"/>
      </rPr>
      <t>O Factor</t>
    </r>
  </si>
  <si>
    <t>mmBtu per short ton</t>
  </si>
  <si>
    <r>
      <t>kg CO</t>
    </r>
    <r>
      <rPr>
        <b/>
        <vertAlign val="subscript"/>
        <sz val="9"/>
        <rFont val="Geneva"/>
      </rPr>
      <t>2</t>
    </r>
    <r>
      <rPr>
        <b/>
        <sz val="9"/>
        <rFont val="Geneva"/>
      </rPr>
      <t xml:space="preserve"> per mmBtu</t>
    </r>
  </si>
  <si>
    <r>
      <t>g CH</t>
    </r>
    <r>
      <rPr>
        <b/>
        <vertAlign val="subscript"/>
        <sz val="9"/>
        <rFont val="Geneva"/>
      </rPr>
      <t>4</t>
    </r>
    <r>
      <rPr>
        <b/>
        <sz val="9"/>
        <rFont val="Geneva"/>
      </rPr>
      <t xml:space="preserve"> per mmBtu</t>
    </r>
  </si>
  <si>
    <r>
      <t>g N</t>
    </r>
    <r>
      <rPr>
        <b/>
        <vertAlign val="subscript"/>
        <sz val="9"/>
        <rFont val="Geneva"/>
      </rPr>
      <t>2</t>
    </r>
    <r>
      <rPr>
        <b/>
        <sz val="9"/>
        <rFont val="Geneva"/>
      </rPr>
      <t>O per mmBtu</t>
    </r>
  </si>
  <si>
    <r>
      <t>kg CO</t>
    </r>
    <r>
      <rPr>
        <b/>
        <vertAlign val="subscript"/>
        <sz val="9"/>
        <rFont val="Geneva"/>
      </rPr>
      <t>2</t>
    </r>
    <r>
      <rPr>
        <b/>
        <sz val="9"/>
        <rFont val="Geneva"/>
      </rPr>
      <t xml:space="preserve"> per short ton</t>
    </r>
  </si>
  <si>
    <r>
      <t>g CH</t>
    </r>
    <r>
      <rPr>
        <b/>
        <vertAlign val="subscript"/>
        <sz val="9"/>
        <rFont val="Geneva"/>
      </rPr>
      <t>4</t>
    </r>
    <r>
      <rPr>
        <b/>
        <sz val="9"/>
        <rFont val="Geneva"/>
      </rPr>
      <t xml:space="preserve"> per short ton</t>
    </r>
  </si>
  <si>
    <r>
      <t>g N</t>
    </r>
    <r>
      <rPr>
        <b/>
        <vertAlign val="subscript"/>
        <sz val="9"/>
        <rFont val="Geneva"/>
      </rPr>
      <t>2</t>
    </r>
    <r>
      <rPr>
        <b/>
        <sz val="9"/>
        <rFont val="Geneva"/>
      </rPr>
      <t>O per short ton</t>
    </r>
  </si>
  <si>
    <t>Coal and Coke</t>
  </si>
  <si>
    <t>Anthracite Coal</t>
  </si>
  <si>
    <t>short tons</t>
  </si>
  <si>
    <t>Bituminous Coal</t>
  </si>
  <si>
    <t>Sub-bituminous Coal</t>
  </si>
  <si>
    <t>Lignite Coal</t>
  </si>
  <si>
    <t>Mixed (Commercial Sector)</t>
  </si>
  <si>
    <t>Mixed (Electric Power Sector)</t>
  </si>
  <si>
    <t>Mixed (Industrial Coking)</t>
  </si>
  <si>
    <t>Mixed (Industrial Sector)</t>
  </si>
  <si>
    <t>Coke</t>
  </si>
  <si>
    <t>Fossil Fuel-derived Fuels (Solid)</t>
  </si>
  <si>
    <t>Municipal Solid Waste</t>
  </si>
  <si>
    <t>Petroleum Coke (Solid)</t>
  </si>
  <si>
    <t>Plastics</t>
  </si>
  <si>
    <t>Tires</t>
  </si>
  <si>
    <t>Biomass Fuels (Solid)</t>
  </si>
  <si>
    <t>Agricultural Byproducts</t>
  </si>
  <si>
    <t>Peat</t>
  </si>
  <si>
    <t>Solid Byproducts</t>
  </si>
  <si>
    <t>Wood and Wood Residuals</t>
  </si>
  <si>
    <t>mmBtu per scf</t>
  </si>
  <si>
    <r>
      <t>kg CO</t>
    </r>
    <r>
      <rPr>
        <b/>
        <vertAlign val="subscript"/>
        <sz val="9"/>
        <rFont val="Geneva"/>
      </rPr>
      <t>2</t>
    </r>
    <r>
      <rPr>
        <b/>
        <sz val="9"/>
        <rFont val="Geneva"/>
      </rPr>
      <t xml:space="preserve"> per scf</t>
    </r>
  </si>
  <si>
    <r>
      <t>g CH</t>
    </r>
    <r>
      <rPr>
        <b/>
        <vertAlign val="subscript"/>
        <sz val="9"/>
        <rFont val="Geneva"/>
      </rPr>
      <t>4</t>
    </r>
    <r>
      <rPr>
        <b/>
        <sz val="9"/>
        <rFont val="Geneva"/>
      </rPr>
      <t xml:space="preserve"> per scf</t>
    </r>
  </si>
  <si>
    <r>
      <t>g N</t>
    </r>
    <r>
      <rPr>
        <b/>
        <vertAlign val="subscript"/>
        <sz val="9"/>
        <rFont val="Geneva"/>
      </rPr>
      <t>2</t>
    </r>
    <r>
      <rPr>
        <b/>
        <sz val="9"/>
        <rFont val="Geneva"/>
      </rPr>
      <t>O per scf</t>
    </r>
  </si>
  <si>
    <t>Natural Gas</t>
  </si>
  <si>
    <t>Natural Gas (per scf)</t>
  </si>
  <si>
    <t>scf</t>
  </si>
  <si>
    <t>Fossil-derived Fuels (Gaseous)</t>
  </si>
  <si>
    <t>Blast Furnace Gas</t>
  </si>
  <si>
    <t>Coke Oven Gas</t>
  </si>
  <si>
    <t>Fuel Gas</t>
  </si>
  <si>
    <t>Propane Gas</t>
  </si>
  <si>
    <t>Biomass Fuels (Gaseous)</t>
  </si>
  <si>
    <t>Biogas (Captured Methane)</t>
  </si>
  <si>
    <t>mmBtu per gallon</t>
  </si>
  <si>
    <r>
      <t>kg CO</t>
    </r>
    <r>
      <rPr>
        <b/>
        <vertAlign val="subscript"/>
        <sz val="9"/>
        <rFont val="Geneva"/>
      </rPr>
      <t>2</t>
    </r>
    <r>
      <rPr>
        <b/>
        <sz val="9"/>
        <rFont val="Geneva"/>
      </rPr>
      <t xml:space="preserve"> per gallon</t>
    </r>
  </si>
  <si>
    <r>
      <t>g CH</t>
    </r>
    <r>
      <rPr>
        <b/>
        <vertAlign val="subscript"/>
        <sz val="9"/>
        <rFont val="Geneva"/>
      </rPr>
      <t>4</t>
    </r>
    <r>
      <rPr>
        <b/>
        <sz val="9"/>
        <rFont val="Geneva"/>
      </rPr>
      <t xml:space="preserve"> per gallon</t>
    </r>
  </si>
  <si>
    <r>
      <t>g N</t>
    </r>
    <r>
      <rPr>
        <b/>
        <vertAlign val="subscript"/>
        <sz val="9"/>
        <rFont val="Geneva"/>
      </rPr>
      <t>2</t>
    </r>
    <r>
      <rPr>
        <b/>
        <sz val="9"/>
        <rFont val="Geneva"/>
      </rPr>
      <t>O per gallon</t>
    </r>
  </si>
  <si>
    <t>Petroleum Products</t>
  </si>
  <si>
    <t>Asphalt and Road Oil</t>
  </si>
  <si>
    <t>Aviation Gasoline</t>
  </si>
  <si>
    <t>Butane</t>
  </si>
  <si>
    <t>Butylene</t>
  </si>
  <si>
    <t>Crude Oil</t>
  </si>
  <si>
    <t>Distillate Fuel Oil No. 1</t>
  </si>
  <si>
    <t>Distillate Fuel Oil No. 2</t>
  </si>
  <si>
    <t>Distillate Fuel Oil No. 4</t>
  </si>
  <si>
    <t>Ethane</t>
  </si>
  <si>
    <t>Ethylene</t>
  </si>
  <si>
    <t>Heavy Gas Oils</t>
  </si>
  <si>
    <t>Isobutane</t>
  </si>
  <si>
    <t>Isobutylene</t>
  </si>
  <si>
    <t>Kerosene-type Jet Fuel</t>
  </si>
  <si>
    <t>Liquefied Petroleum Gases (LPG)</t>
  </si>
  <si>
    <t>Lubricants</t>
  </si>
  <si>
    <t>Motor Gasoline</t>
  </si>
  <si>
    <t>Naphtha (&lt;401 deg F)</t>
  </si>
  <si>
    <t>Natural Gasoline</t>
  </si>
  <si>
    <t>Other Oil (&gt;401 deg F)</t>
  </si>
  <si>
    <t>Pentanes Plus</t>
  </si>
  <si>
    <t>Petrochemical Feedstocks</t>
  </si>
  <si>
    <t>Petroleum Coke</t>
  </si>
  <si>
    <t>Propane</t>
  </si>
  <si>
    <t>Propylene</t>
  </si>
  <si>
    <t>Residual Fuel Oil No. 5</t>
  </si>
  <si>
    <t>Residual Fuel Oil No. 6</t>
  </si>
  <si>
    <t>Special Naphtha</t>
  </si>
  <si>
    <t>Still Gas</t>
  </si>
  <si>
    <t>Unfinished Oils</t>
  </si>
  <si>
    <t>Used Oil</t>
  </si>
  <si>
    <t>Biomass Fuels</t>
  </si>
  <si>
    <t>Biodiesel (100%)</t>
  </si>
  <si>
    <t>Ethanol (100%)</t>
  </si>
  <si>
    <t>Rendered Animal Fat</t>
  </si>
  <si>
    <t>Vegetable Oil</t>
  </si>
  <si>
    <t>Steam and Hot Water</t>
  </si>
  <si>
    <t>mmBtu</t>
  </si>
  <si>
    <t>Sources:</t>
  </si>
  <si>
    <r>
      <t>Solid, gaseous, liquid and biomass fuels: Federal Register (2009) EPA</t>
    </r>
    <r>
      <rPr>
        <i/>
        <sz val="9"/>
        <rFont val="Geneva"/>
      </rPr>
      <t>; 40 CFR Parts 86, 87, 89 et al; Mandatory Reporting of Greenhouse Gases; Final Rule</t>
    </r>
    <r>
      <rPr>
        <sz val="9"/>
        <rFont val="Geneva"/>
      </rPr>
      <t>, 30Oct09, 261 pp. Tables C-1 and C-2 at FR pp. 56409-56410.  Revised emission factors for selected fuels: Federal Register (2010) EPA; 40 CFR Part 98; Mandatory Reporting of Greenhouse Gases; Final Rule, 17Dec10, 81 pp.</t>
    </r>
  </si>
  <si>
    <r>
      <t xml:space="preserve">Steam and Hot Water: United States. Energy Information Administration (2010); </t>
    </r>
    <r>
      <rPr>
        <i/>
        <sz val="9"/>
        <rFont val="Geneva"/>
      </rPr>
      <t>Voluntary Reporting of Greenhouse Gases, 1605(b) Program</t>
    </r>
    <r>
      <rPr>
        <sz val="9"/>
        <rFont val="Geneva"/>
      </rPr>
      <t xml:space="preserve">, Appendix N: Emissions Factors for Steam and Chilled Water. </t>
    </r>
  </si>
  <si>
    <t>Table 2</t>
  </si>
  <si>
    <r>
      <t xml:space="preserve">   CO</t>
    </r>
    <r>
      <rPr>
        <b/>
        <vertAlign val="subscript"/>
        <sz val="12"/>
        <rFont val="Geneva"/>
      </rPr>
      <t>2</t>
    </r>
    <r>
      <rPr>
        <b/>
        <sz val="12"/>
        <rFont val="Geneva"/>
      </rPr>
      <t xml:space="preserve"> Emissions for Transportation Fuels for Road Vehicles, Locomotives, and Aircraft</t>
    </r>
  </si>
  <si>
    <r>
      <t>kg CO</t>
    </r>
    <r>
      <rPr>
        <b/>
        <vertAlign val="subscript"/>
        <sz val="10"/>
        <rFont val="Geneva"/>
      </rPr>
      <t>2</t>
    </r>
    <r>
      <rPr>
        <b/>
        <sz val="10"/>
        <rFont val="Geneva"/>
      </rPr>
      <t xml:space="preserve"> per unit</t>
    </r>
  </si>
  <si>
    <t>Biodiesel</t>
  </si>
  <si>
    <t>Compressed Natural Gas (CNG)</t>
  </si>
  <si>
    <t>Diesel Fuel</t>
  </si>
  <si>
    <t>Ethanol</t>
  </si>
  <si>
    <t>Jet Fuel (kerosene type)</t>
  </si>
  <si>
    <t>Liquefied Natural Gas (LNG)</t>
  </si>
  <si>
    <t>LPG</t>
  </si>
  <si>
    <t>Methanol</t>
  </si>
  <si>
    <t>Residual Fuel Oil (Resid #5; Bunker C)</t>
  </si>
  <si>
    <r>
      <t xml:space="preserve">Federal Register (2009) </t>
    </r>
    <r>
      <rPr>
        <i/>
        <sz val="9"/>
        <rFont val="Geneva"/>
      </rPr>
      <t>EPA; 40 CFR Parts 86, 87, 89 et al; Mandatory Reporting of Greenhouse Gases; Final Rule</t>
    </r>
    <r>
      <rPr>
        <sz val="9"/>
        <rFont val="Geneva"/>
      </rPr>
      <t>, 30Oct09, 261 pp. Tables C-1 and C-2 at FR pp. 56409-56410.</t>
    </r>
  </si>
  <si>
    <r>
      <t xml:space="preserve">LNG sourced from: US EPA (2008); </t>
    </r>
    <r>
      <rPr>
        <i/>
        <sz val="9"/>
        <rFont val="Geneva"/>
      </rPr>
      <t>Greenhouse Gas Inventory Protocol Core Module Guidance - Direct Emissions from Mobile Combustion Sources,</t>
    </r>
    <r>
      <rPr>
        <sz val="9"/>
        <rFont val="Geneva"/>
      </rPr>
      <t xml:space="preserve"> EPA Climate Leaders, Table B-5, p. 33.</t>
    </r>
  </si>
  <si>
    <r>
      <t xml:space="preserve">Methanol sourced from: The Climate Registry (2011); </t>
    </r>
    <r>
      <rPr>
        <i/>
        <sz val="9"/>
        <rFont val="Geneva"/>
      </rPr>
      <t>General Reporting Protocol for the Voluntary Reporting Program</t>
    </r>
    <r>
      <rPr>
        <sz val="9"/>
        <rFont val="Geneva"/>
      </rPr>
      <t>, Default Emission Factors, Table 13.1 US Default CO2 Emission Factors for Transport Fuels.</t>
    </r>
  </si>
  <si>
    <t>Table 3</t>
  </si>
  <si>
    <r>
      <t xml:space="preserve">   CH</t>
    </r>
    <r>
      <rPr>
        <b/>
        <vertAlign val="subscript"/>
        <sz val="12"/>
        <rFont val="Geneva"/>
      </rPr>
      <t>4</t>
    </r>
    <r>
      <rPr>
        <b/>
        <sz val="12"/>
        <rFont val="Geneva"/>
      </rPr>
      <t xml:space="preserve"> and N</t>
    </r>
    <r>
      <rPr>
        <b/>
        <vertAlign val="subscript"/>
        <sz val="12"/>
        <rFont val="Geneva"/>
      </rPr>
      <t>2</t>
    </r>
    <r>
      <rPr>
        <b/>
        <sz val="12"/>
        <rFont val="Geneva"/>
      </rPr>
      <t>O Emissions for Highway Vehicles</t>
    </r>
  </si>
  <si>
    <t>Vehicle Type</t>
  </si>
  <si>
    <t>Year</t>
  </si>
  <si>
    <r>
      <t>CH</t>
    </r>
    <r>
      <rPr>
        <b/>
        <vertAlign val="subscript"/>
        <sz val="10"/>
        <rFont val="Geneva"/>
      </rPr>
      <t>4</t>
    </r>
    <r>
      <rPr>
        <b/>
        <sz val="10"/>
        <rFont val="Geneva"/>
      </rPr>
      <t xml:space="preserve"> Factor 
(g / mile)</t>
    </r>
  </si>
  <si>
    <r>
      <t>N</t>
    </r>
    <r>
      <rPr>
        <b/>
        <vertAlign val="subscript"/>
        <sz val="10"/>
        <rFont val="Geneva"/>
      </rPr>
      <t>2</t>
    </r>
    <r>
      <rPr>
        <b/>
        <sz val="10"/>
        <rFont val="Geneva"/>
      </rPr>
      <t>O Factor 
(g / mile)</t>
    </r>
  </si>
  <si>
    <t>Gasoline Passenger Cars</t>
  </si>
  <si>
    <t>1984-1993</t>
  </si>
  <si>
    <t>2009-present</t>
  </si>
  <si>
    <t>Gasoline Light-duty Trucks</t>
  </si>
  <si>
    <t>1987-1993</t>
  </si>
  <si>
    <t>(Vans, Pickup Trucks, SUVs)</t>
  </si>
  <si>
    <t>Gasoline Heavy-duty Vehicles</t>
  </si>
  <si>
    <t>1985-1986</t>
  </si>
  <si>
    <t>1988-1989</t>
  </si>
  <si>
    <t>1990-1995</t>
  </si>
  <si>
    <r>
      <t>1984-2005 factors from: US EPA (2008);</t>
    </r>
    <r>
      <rPr>
        <i/>
        <sz val="9"/>
        <rFont val="Geneva"/>
      </rPr>
      <t xml:space="preserve"> Greenhouse Gas Inventory Protocol Core Module Guidance - Direct Emissions   from Mobile Combustion Sources</t>
    </r>
    <r>
      <rPr>
        <sz val="9"/>
        <rFont val="Geneva"/>
      </rPr>
      <t>, EPA Climate Leaders, Table 3.</t>
    </r>
  </si>
  <si>
    <r>
      <t xml:space="preserve">2006-2009 factors from: US EPA (2011) </t>
    </r>
    <r>
      <rPr>
        <i/>
        <sz val="9"/>
        <rFont val="Geneva"/>
      </rPr>
      <t>Inventory of U.S. Greenhouse Gas Emissions and Sinks: 1990-2009, EPA 430-R-11-005</t>
    </r>
    <r>
      <rPr>
        <sz val="9"/>
        <rFont val="Geneva"/>
      </rPr>
      <t xml:space="preserve">.  All Values are calculated from Tables A-97 through A-100. </t>
    </r>
  </si>
  <si>
    <t>Table 4</t>
  </si>
  <si>
    <r>
      <t xml:space="preserve">    CH</t>
    </r>
    <r>
      <rPr>
        <b/>
        <vertAlign val="subscript"/>
        <sz val="12"/>
        <rFont val="Geneva"/>
      </rPr>
      <t>4</t>
    </r>
    <r>
      <rPr>
        <b/>
        <sz val="12"/>
        <rFont val="Geneva"/>
      </rPr>
      <t xml:space="preserve"> and N</t>
    </r>
    <r>
      <rPr>
        <b/>
        <vertAlign val="subscript"/>
        <sz val="12"/>
        <rFont val="Geneva"/>
      </rPr>
      <t>2</t>
    </r>
    <r>
      <rPr>
        <b/>
        <sz val="12"/>
        <rFont val="Geneva"/>
      </rPr>
      <t>O Emissions for Highway Vehicles: Diesel and Alternative Fuels</t>
    </r>
  </si>
  <si>
    <t>Vehicle Year</t>
  </si>
  <si>
    <r>
      <t>CH</t>
    </r>
    <r>
      <rPr>
        <b/>
        <vertAlign val="subscript"/>
        <sz val="10"/>
        <rFont val="Geneva"/>
      </rPr>
      <t xml:space="preserve">4 </t>
    </r>
    <r>
      <rPr>
        <b/>
        <sz val="10"/>
        <rFont val="Geneva"/>
      </rPr>
      <t>Factor 
(g / mile)</t>
    </r>
  </si>
  <si>
    <t>Diesel Passenger Cars</t>
  </si>
  <si>
    <t>1960-1982</t>
  </si>
  <si>
    <t>1983-present</t>
  </si>
  <si>
    <t>Diesel Light-duty Trucks</t>
  </si>
  <si>
    <t>1983-1995</t>
  </si>
  <si>
    <t>1996-present</t>
  </si>
  <si>
    <t>Diesel Heavy-duty Vehicles</t>
  </si>
  <si>
    <t>1960-present</t>
  </si>
  <si>
    <t>Gasoline Motorcycles (Non-Catalyst)</t>
  </si>
  <si>
    <t>Non-catalyst Control</t>
  </si>
  <si>
    <t>Gasoline Motorcycles (Uncontrolled)</t>
  </si>
  <si>
    <t>Uncontrolled</t>
  </si>
  <si>
    <t>CNG Light-duty Vehicles</t>
  </si>
  <si>
    <t>CNG Heavy-duty Vehicles</t>
  </si>
  <si>
    <t>CNG Buses</t>
  </si>
  <si>
    <t>LPG Light-duty Vehicles</t>
  </si>
  <si>
    <t>LPG Heavy-duty Vehicles</t>
  </si>
  <si>
    <t>LNG Heavy-duty Vehicles</t>
  </si>
  <si>
    <t>Ethanol Light-duty Vehicles</t>
  </si>
  <si>
    <t>Ethanol Heavy-duty Vehicles</t>
  </si>
  <si>
    <t>Ethanol Buses</t>
  </si>
  <si>
    <r>
      <rPr>
        <b/>
        <sz val="10"/>
        <rFont val="Geneva"/>
      </rPr>
      <t>Source:</t>
    </r>
    <r>
      <rPr>
        <sz val="10"/>
        <rFont val="Geneva"/>
      </rPr>
      <t xml:space="preserve"> </t>
    </r>
    <r>
      <rPr>
        <sz val="9"/>
        <rFont val="Geneva"/>
      </rPr>
      <t xml:space="preserve">
US EPA (2008);</t>
    </r>
    <r>
      <rPr>
        <i/>
        <sz val="9"/>
        <rFont val="Geneva"/>
      </rPr>
      <t xml:space="preserve"> Greenhouse Gas Inventory Protocol Core Module Guidance - Direct Emissions from Mobile Combustion Sources</t>
    </r>
    <r>
      <rPr>
        <sz val="9"/>
        <rFont val="Geneva"/>
      </rPr>
      <t>, EPA Climate Leaders, Table 3.</t>
    </r>
  </si>
  <si>
    <t>Table 5</t>
  </si>
  <si>
    <r>
      <t xml:space="preserve">    CH</t>
    </r>
    <r>
      <rPr>
        <b/>
        <vertAlign val="subscript"/>
        <sz val="12"/>
        <rFont val="Geneva"/>
      </rPr>
      <t>4</t>
    </r>
    <r>
      <rPr>
        <b/>
        <sz val="12"/>
        <rFont val="Geneva"/>
      </rPr>
      <t xml:space="preserve"> and N</t>
    </r>
    <r>
      <rPr>
        <b/>
        <vertAlign val="subscript"/>
        <sz val="12"/>
        <rFont val="Geneva"/>
      </rPr>
      <t>2</t>
    </r>
    <r>
      <rPr>
        <b/>
        <sz val="12"/>
        <rFont val="Geneva"/>
      </rPr>
      <t>O Emissions for Non-highway Vehicles</t>
    </r>
  </si>
  <si>
    <r>
      <t>CH</t>
    </r>
    <r>
      <rPr>
        <b/>
        <vertAlign val="subscript"/>
        <sz val="10"/>
        <rFont val="Geneva"/>
      </rPr>
      <t xml:space="preserve">4 </t>
    </r>
    <r>
      <rPr>
        <b/>
        <sz val="10"/>
        <rFont val="Geneva"/>
      </rPr>
      <t xml:space="preserve">Factor 
(g / gallon) </t>
    </r>
  </si>
  <si>
    <r>
      <t>N</t>
    </r>
    <r>
      <rPr>
        <b/>
        <vertAlign val="subscript"/>
        <sz val="10"/>
        <rFont val="Geneva"/>
      </rPr>
      <t>2</t>
    </r>
    <r>
      <rPr>
        <b/>
        <sz val="10"/>
        <rFont val="Geneva"/>
      </rPr>
      <t xml:space="preserve">O Factor 
(g / gallon) </t>
    </r>
  </si>
  <si>
    <t>LPG Non-Highway Vehicles</t>
  </si>
  <si>
    <t>Residual Oil Ships and Boats</t>
  </si>
  <si>
    <t>Diesel Ships and Boats</t>
  </si>
  <si>
    <t>Gasoline Ships and Boats</t>
  </si>
  <si>
    <t>Diesel Locomotives</t>
  </si>
  <si>
    <t>Gasoline Agricultural Equip.</t>
  </si>
  <si>
    <t>Diesel Agricultural Equip.</t>
  </si>
  <si>
    <t>Gasoline Construction Equip.</t>
  </si>
  <si>
    <t>Diesel Construction Equip.</t>
  </si>
  <si>
    <t>Jet Fuel Aircraft</t>
  </si>
  <si>
    <t>Aviation Gasoline Aircraft</t>
  </si>
  <si>
    <t>Biodiesel Vehicles</t>
  </si>
  <si>
    <t>Other Diesel Sources</t>
  </si>
  <si>
    <t>Other Gasoline Sources</t>
  </si>
  <si>
    <r>
      <rPr>
        <b/>
        <sz val="10"/>
        <rFont val="Geneva"/>
      </rPr>
      <t>Note:</t>
    </r>
    <r>
      <rPr>
        <sz val="10"/>
        <rFont val="Geneva"/>
      </rPr>
      <t xml:space="preserve"> </t>
    </r>
    <r>
      <rPr>
        <sz val="9"/>
        <rFont val="Geneva"/>
      </rPr>
      <t xml:space="preserve">
LPG non-highway vehicles assumed equal to other gasoline sources.  Biodiesel vehicles assumed equal to other diesel sources.</t>
    </r>
  </si>
  <si>
    <r>
      <rPr>
        <b/>
        <sz val="10"/>
        <rFont val="Geneva"/>
      </rPr>
      <t>Source:</t>
    </r>
    <r>
      <rPr>
        <sz val="10"/>
        <rFont val="Geneva"/>
      </rPr>
      <t xml:space="preserve"> </t>
    </r>
    <r>
      <rPr>
        <sz val="9"/>
        <rFont val="Geneva"/>
      </rPr>
      <t xml:space="preserve">
US EPA (2008);</t>
    </r>
    <r>
      <rPr>
        <i/>
        <sz val="9"/>
        <rFont val="Geneva"/>
      </rPr>
      <t xml:space="preserve"> Greenhouse Gas Inventory Protocol Core Module Guidance - Direct Emissions from Mobile Combustion Sources</t>
    </r>
    <r>
      <rPr>
        <sz val="9"/>
        <rFont val="Geneva"/>
      </rPr>
      <t>, EPA Climate Leaders, Tables A-6 and A-7.</t>
    </r>
  </si>
  <si>
    <t>Table 6</t>
  </si>
  <si>
    <t xml:space="preserve">   Refrigerants and Global Warming Potentials (GWPs)</t>
  </si>
  <si>
    <r>
      <t>CO</t>
    </r>
    <r>
      <rPr>
        <vertAlign val="subscript"/>
        <sz val="10"/>
        <rFont val="Geneva"/>
      </rPr>
      <t>2</t>
    </r>
    <r>
      <rPr>
        <sz val="10"/>
        <rFont val="Geneva"/>
      </rPr>
      <t xml:space="preserve"> </t>
    </r>
  </si>
  <si>
    <r>
      <t>SF</t>
    </r>
    <r>
      <rPr>
        <vertAlign val="subscript"/>
        <sz val="10"/>
        <rFont val="Geneva"/>
      </rPr>
      <t>6</t>
    </r>
    <r>
      <rPr>
        <sz val="10"/>
        <rFont val="Geneva"/>
      </rPr>
      <t xml:space="preserve"> </t>
    </r>
  </si>
  <si>
    <r>
      <t>CF</t>
    </r>
    <r>
      <rPr>
        <vertAlign val="subscript"/>
        <sz val="10"/>
        <rFont val="Geneva"/>
      </rPr>
      <t>4</t>
    </r>
    <r>
      <rPr>
        <sz val="10"/>
        <rFont val="Geneva"/>
      </rPr>
      <t xml:space="preserve"> </t>
    </r>
  </si>
  <si>
    <r>
      <t>C</t>
    </r>
    <r>
      <rPr>
        <vertAlign val="subscript"/>
        <sz val="10"/>
        <rFont val="Geneva"/>
      </rPr>
      <t>2</t>
    </r>
    <r>
      <rPr>
        <sz val="10"/>
        <rFont val="Geneva"/>
      </rPr>
      <t>F</t>
    </r>
    <r>
      <rPr>
        <vertAlign val="subscript"/>
        <sz val="10"/>
        <rFont val="Geneva"/>
      </rPr>
      <t>6</t>
    </r>
    <r>
      <rPr>
        <sz val="10"/>
        <rFont val="Geneva"/>
      </rPr>
      <t xml:space="preserve"> </t>
    </r>
  </si>
  <si>
    <r>
      <t>C</t>
    </r>
    <r>
      <rPr>
        <vertAlign val="subscript"/>
        <sz val="10"/>
        <rFont val="Geneva"/>
      </rPr>
      <t>3</t>
    </r>
    <r>
      <rPr>
        <sz val="10"/>
        <rFont val="Geneva"/>
      </rPr>
      <t>F</t>
    </r>
    <r>
      <rPr>
        <vertAlign val="subscript"/>
        <sz val="10"/>
        <rFont val="Geneva"/>
      </rPr>
      <t>8</t>
    </r>
  </si>
  <si>
    <r>
      <t>c-C</t>
    </r>
    <r>
      <rPr>
        <vertAlign val="subscript"/>
        <sz val="10"/>
        <rFont val="Geneva"/>
      </rPr>
      <t>4</t>
    </r>
    <r>
      <rPr>
        <sz val="10"/>
        <rFont val="Geneva"/>
      </rPr>
      <t>F</t>
    </r>
    <r>
      <rPr>
        <vertAlign val="subscript"/>
        <sz val="10"/>
        <rFont val="Geneva"/>
      </rPr>
      <t>8</t>
    </r>
  </si>
  <si>
    <r>
      <t>C</t>
    </r>
    <r>
      <rPr>
        <vertAlign val="subscript"/>
        <sz val="10"/>
        <rFont val="Geneva"/>
      </rPr>
      <t>4</t>
    </r>
    <r>
      <rPr>
        <sz val="10"/>
        <rFont val="Geneva"/>
      </rPr>
      <t>F</t>
    </r>
    <r>
      <rPr>
        <vertAlign val="subscript"/>
        <sz val="10"/>
        <rFont val="Geneva"/>
      </rPr>
      <t>10</t>
    </r>
    <r>
      <rPr>
        <sz val="10"/>
        <rFont val="Geneva"/>
      </rPr>
      <t xml:space="preserve"> </t>
    </r>
  </si>
  <si>
    <r>
      <t>C</t>
    </r>
    <r>
      <rPr>
        <vertAlign val="subscript"/>
        <sz val="10"/>
        <rFont val="Geneva"/>
      </rPr>
      <t>5</t>
    </r>
    <r>
      <rPr>
        <sz val="10"/>
        <rFont val="Geneva"/>
      </rPr>
      <t>F</t>
    </r>
    <r>
      <rPr>
        <vertAlign val="subscript"/>
        <sz val="10"/>
        <rFont val="Geneva"/>
      </rPr>
      <t>12</t>
    </r>
  </si>
  <si>
    <r>
      <t>C</t>
    </r>
    <r>
      <rPr>
        <vertAlign val="subscript"/>
        <sz val="10"/>
        <rFont val="Geneva"/>
      </rPr>
      <t>6</t>
    </r>
    <r>
      <rPr>
        <sz val="10"/>
        <rFont val="Geneva"/>
      </rPr>
      <t>F</t>
    </r>
    <r>
      <rPr>
        <vertAlign val="subscript"/>
        <sz val="10"/>
        <rFont val="Geneva"/>
      </rPr>
      <t>14</t>
    </r>
  </si>
  <si>
    <r>
      <rPr>
        <b/>
        <sz val="10"/>
        <rFont val="Geneva"/>
      </rPr>
      <t>Source:</t>
    </r>
    <r>
      <rPr>
        <sz val="10"/>
        <rFont val="Geneva"/>
      </rPr>
      <t xml:space="preserve"> </t>
    </r>
    <r>
      <rPr>
        <sz val="9"/>
        <rFont val="Geneva"/>
      </rPr>
      <t xml:space="preserve">
Intergovernmental Panel on Climate Change (IPCC) (1995); </t>
    </r>
    <r>
      <rPr>
        <i/>
        <sz val="9"/>
        <rFont val="Geneva"/>
      </rPr>
      <t>Second Assessment Report</t>
    </r>
    <r>
      <rPr>
        <sz val="9"/>
        <rFont val="Geneva"/>
      </rPr>
      <t>.  Use of the Second Assessment Report on Global Warming Potential v alues is consistent with current international agreements.</t>
    </r>
  </si>
  <si>
    <t>Table 6b</t>
  </si>
  <si>
    <t xml:space="preserve">   Blended Refrigerants (ASHRAE #)</t>
  </si>
  <si>
    <t>ASHRAE #</t>
  </si>
  <si>
    <t>Blend GWP HFC/PFC</t>
  </si>
  <si>
    <t>Blend Make-up</t>
  </si>
  <si>
    <t>R - 401A</t>
  </si>
  <si>
    <t>53% HCFC-22 , 34% HCFC-124 , 13% HFC-152a</t>
  </si>
  <si>
    <t>R - 401B</t>
  </si>
  <si>
    <t>61% HCFC-22 , 28% HCFC-124 , 11% HFC-152a</t>
  </si>
  <si>
    <t>R - 401C</t>
  </si>
  <si>
    <t>33% HCFC-22 , 52% HCFC-124 , 15% HFC-152a</t>
  </si>
  <si>
    <t>R - 402A</t>
  </si>
  <si>
    <t>38% HCFC-22 , 6% HFC-125 , 2% propane</t>
  </si>
  <si>
    <t>R - 402B</t>
  </si>
  <si>
    <t>6% HCFC-22 , 38% HFC-125 , 2% propane</t>
  </si>
  <si>
    <t>R - 403B</t>
  </si>
  <si>
    <t>56% HCFC-22 , 39% PFC-218 , 5% propane</t>
  </si>
  <si>
    <t>R - 404A</t>
  </si>
  <si>
    <t>44% HFC-125 , 4% HFC-134a , 52% HFC 143a</t>
  </si>
  <si>
    <t>R - 406A</t>
  </si>
  <si>
    <t>55% HCFC-22 , 41% HCFC-142b , 4% isobutane</t>
  </si>
  <si>
    <t>R - 407A</t>
  </si>
  <si>
    <t>20% HFC-32 , 40% HFC-125 , 40% HFC-134a</t>
  </si>
  <si>
    <t>R - 407B</t>
  </si>
  <si>
    <t>10% HFC-32 , 70% HFC-125 , 20% HFC-134a</t>
  </si>
  <si>
    <t>R - 407C</t>
  </si>
  <si>
    <t>23% HFC-32 , 25% HFC-125 , 52% HFC-134a</t>
  </si>
  <si>
    <t>R - 407D</t>
  </si>
  <si>
    <t>15% HFC-32 , 15% HFC-125 , 70% HFC-134a</t>
  </si>
  <si>
    <t>R - 407E</t>
  </si>
  <si>
    <t>25% HFC-32 , 15% HFC-125 , 60% HFC-134a</t>
  </si>
  <si>
    <t>R - 408A</t>
  </si>
  <si>
    <t>47% HCFC-22 , 7% HFC-125 , 46% HFC 143a</t>
  </si>
  <si>
    <t>R - 409A</t>
  </si>
  <si>
    <t>60% HCFC-22 , 25% HCFC-124 , 15% HCFC-142b</t>
  </si>
  <si>
    <t>R - 410A</t>
  </si>
  <si>
    <t>50% HFC-32 , 50% HFC-125</t>
  </si>
  <si>
    <t>R - 410B</t>
  </si>
  <si>
    <t xml:space="preserve">45% HFC-32 , 55% HFC-125 </t>
  </si>
  <si>
    <t>R - 411A</t>
  </si>
  <si>
    <t>87.5% HCFC-22 , 11 HFC-152a , 1.5% propylene</t>
  </si>
  <si>
    <t>R - 411B</t>
  </si>
  <si>
    <t>94% HCFC-22 , 3% HFC-152a , 3% propylene</t>
  </si>
  <si>
    <t>R - 413A</t>
  </si>
  <si>
    <t>88% HFC-134a , 9% PFC-218 , 3% isobutane</t>
  </si>
  <si>
    <t>R - 414A</t>
  </si>
  <si>
    <t>51% HCFC-22 , 28.5% HCFC-124 , 16.5% HCFC-142b</t>
  </si>
  <si>
    <t>R - 414B</t>
  </si>
  <si>
    <t>5% HCFC-22 , 39% HCFC-124 , 9.5% HCFC-142b</t>
  </si>
  <si>
    <t>R - 417A</t>
  </si>
  <si>
    <t>46.6% HFC-125 , 5% HFC-134a , 3.4% butane</t>
  </si>
  <si>
    <t>R - 422A</t>
  </si>
  <si>
    <t>85.1% HFC-125 , 11.5% HFC-134a , 3.4% isobutane</t>
  </si>
  <si>
    <t>R - 422D</t>
  </si>
  <si>
    <t>65.1% HFC-125 , 31.5% HFC-134a , 3.4% isobutane</t>
  </si>
  <si>
    <t>R - 423A</t>
  </si>
  <si>
    <t xml:space="preserve">47.5% HFC-227ea , 52.5% HFC-134a ,  </t>
  </si>
  <si>
    <t>R - 424A</t>
  </si>
  <si>
    <t>Mixture of: HFC-125 , HFC-134a , butane, pentane.  GWP reported by comstarproducts.com</t>
  </si>
  <si>
    <t>R - 426A</t>
  </si>
  <si>
    <t>R - 428A</t>
  </si>
  <si>
    <t>77.5% HFC-125 , 2% HFC-143a , 1.9% isobutane</t>
  </si>
  <si>
    <t>R - 434A</t>
  </si>
  <si>
    <t>Mixture of: HFC-125 , HFC-134a , HFC-143a.  GWP reported by comstarproducts.com</t>
  </si>
  <si>
    <t>R - 500</t>
  </si>
  <si>
    <t>73.8% CFC-12 , 26.2% HFC-152a , 48.8% HCFC-22</t>
  </si>
  <si>
    <t>R - 502</t>
  </si>
  <si>
    <t xml:space="preserve">48.8% HCFC-22 , 51.2% CFC-115 </t>
  </si>
  <si>
    <t>R - 504</t>
  </si>
  <si>
    <t>48.2% HFC-32 , 51.8% CFC-115</t>
  </si>
  <si>
    <t>R - 507</t>
  </si>
  <si>
    <t>5% HFC-125 , 5% HFC143a</t>
  </si>
  <si>
    <t>R - 508A</t>
  </si>
  <si>
    <t>39% HFC-23 , 61% PFC-116</t>
  </si>
  <si>
    <t>R - 508B</t>
  </si>
  <si>
    <t>46% HFC-23 , 54% PFC-116</t>
  </si>
  <si>
    <t xml:space="preserve">        The blended refrigerants are based on internet research to determine the constituents, and the GWP is based on the blend of HFC and PFC gases.</t>
  </si>
  <si>
    <t>Table 7</t>
  </si>
  <si>
    <t xml:space="preserve">   Electricity Emission Factors (System Average)</t>
  </si>
  <si>
    <t>Subregion</t>
  </si>
  <si>
    <r>
      <t>(lb CO</t>
    </r>
    <r>
      <rPr>
        <b/>
        <vertAlign val="subscript"/>
        <sz val="10"/>
        <rFont val="Geneva"/>
      </rPr>
      <t xml:space="preserve">2 </t>
    </r>
    <r>
      <rPr>
        <b/>
        <sz val="10"/>
        <rFont val="Geneva"/>
      </rPr>
      <t>/MWh)</t>
    </r>
  </si>
  <si>
    <r>
      <t>(lb CH</t>
    </r>
    <r>
      <rPr>
        <b/>
        <vertAlign val="subscript"/>
        <sz val="10"/>
        <rFont val="Geneva"/>
      </rPr>
      <t xml:space="preserve">4 </t>
    </r>
    <r>
      <rPr>
        <b/>
        <sz val="10"/>
        <rFont val="Geneva"/>
      </rPr>
      <t>/MWh)</t>
    </r>
  </si>
  <si>
    <r>
      <t>(lb N</t>
    </r>
    <r>
      <rPr>
        <b/>
        <vertAlign val="subscript"/>
        <sz val="10"/>
        <rFont val="Geneva"/>
      </rPr>
      <t>2</t>
    </r>
    <r>
      <rPr>
        <b/>
        <sz val="10"/>
        <rFont val="Geneva"/>
      </rPr>
      <t>O /MWh)</t>
    </r>
  </si>
  <si>
    <t>AKGD (ASCC Alaska Grid)</t>
  </si>
  <si>
    <t>AKMS (ASCC Miscellaneous)</t>
  </si>
  <si>
    <t>AZNM (WECC Southwest)</t>
  </si>
  <si>
    <t>CAMX (WECC California)</t>
  </si>
  <si>
    <t>ERCT (ERCOT All)</t>
  </si>
  <si>
    <t>FRCC (FRCC All)</t>
  </si>
  <si>
    <t>HIMS (HICC Miscellaneous)</t>
  </si>
  <si>
    <t>HIOA (HICC Oahu)</t>
  </si>
  <si>
    <t>MROE (MRO East)</t>
  </si>
  <si>
    <t>MROW (MRO West)</t>
  </si>
  <si>
    <t>NEWE (NPCC New England)</t>
  </si>
  <si>
    <t>NWPP (WECC Northwest)</t>
  </si>
  <si>
    <t>NYCW (NPCC NYC/Westchester)</t>
  </si>
  <si>
    <t>NYLI (NPCC Long Island)</t>
  </si>
  <si>
    <t>NYUP (NPCC Upstate NY)</t>
  </si>
  <si>
    <t>RFCE (RFC East)</t>
  </si>
  <si>
    <t>RFCM (RFC Michigan)</t>
  </si>
  <si>
    <t>RFCW (RFC West)</t>
  </si>
  <si>
    <t>RMPA (WECC Rockies)</t>
  </si>
  <si>
    <t>SPNO (SPP North)</t>
  </si>
  <si>
    <t>SPSO (SPP South)</t>
  </si>
  <si>
    <t>SRMV (SERC Mississippi Valley)</t>
  </si>
  <si>
    <t>SRMW (SERC Midwest)</t>
  </si>
  <si>
    <t>SRSO (SERC South)</t>
  </si>
  <si>
    <t>SRTV (SERC Tennessee Valley)</t>
  </si>
  <si>
    <t>SRVC (SERC Virginia/Carolina)</t>
  </si>
  <si>
    <r>
      <rPr>
        <b/>
        <sz val="10"/>
        <rFont val="Geneva"/>
      </rPr>
      <t xml:space="preserve">Source: </t>
    </r>
    <r>
      <rPr>
        <b/>
        <sz val="9"/>
        <rFont val="Geneva"/>
      </rPr>
      <t xml:space="preserve">
</t>
    </r>
    <r>
      <rPr>
        <sz val="9"/>
        <rFont val="Geneva"/>
      </rPr>
      <t>US</t>
    </r>
    <r>
      <rPr>
        <b/>
        <sz val="9"/>
        <rFont val="Geneva"/>
      </rPr>
      <t xml:space="preserve"> </t>
    </r>
    <r>
      <rPr>
        <sz val="9"/>
        <rFont val="Geneva"/>
      </rPr>
      <t>EPA (2011); eGRID2010 Version 1.1 Year 2007 Data.</t>
    </r>
  </si>
  <si>
    <t xml:space="preserve">This is a representational map; many of the boundaries shown on this map are approximate because they are based on companies; 
not on strictly geographical boundaries. </t>
  </si>
  <si>
    <r>
      <rPr>
        <b/>
        <sz val="10"/>
        <rFont val="Geneva"/>
      </rPr>
      <t xml:space="preserve">Source: </t>
    </r>
    <r>
      <rPr>
        <sz val="9"/>
        <rFont val="Geneva"/>
      </rPr>
      <t xml:space="preserve">
USEPA eGRID2010 Version 1.0 December 2010.</t>
    </r>
  </si>
  <si>
    <t>Table 7b</t>
  </si>
  <si>
    <t xml:space="preserve">   Electricity Emission Factors (Non-baseload); Used for Green Power / REC Calculations</t>
  </si>
  <si>
    <r>
      <t>(lb CO</t>
    </r>
    <r>
      <rPr>
        <b/>
        <vertAlign val="subscript"/>
        <sz val="10"/>
        <rFont val="Geneva"/>
      </rPr>
      <t>2</t>
    </r>
    <r>
      <rPr>
        <b/>
        <sz val="10"/>
        <rFont val="Geneva"/>
      </rPr>
      <t>/MWh)</t>
    </r>
  </si>
  <si>
    <r>
      <t>(lb CH</t>
    </r>
    <r>
      <rPr>
        <b/>
        <vertAlign val="subscript"/>
        <sz val="10"/>
        <rFont val="Geneva"/>
      </rPr>
      <t>4</t>
    </r>
    <r>
      <rPr>
        <b/>
        <sz val="10"/>
        <rFont val="Geneva"/>
      </rPr>
      <t>/MWh)</t>
    </r>
  </si>
  <si>
    <r>
      <t>(lb N</t>
    </r>
    <r>
      <rPr>
        <b/>
        <vertAlign val="subscript"/>
        <sz val="10"/>
        <rFont val="Geneva"/>
      </rPr>
      <t>2</t>
    </r>
    <r>
      <rPr>
        <b/>
        <sz val="10"/>
        <rFont val="Geneva"/>
      </rPr>
      <t>O/MWh)</t>
    </r>
  </si>
  <si>
    <t>US Average</t>
  </si>
  <si>
    <t>Table 8</t>
  </si>
  <si>
    <t>Business Travel Emission Factors</t>
  </si>
  <si>
    <r>
      <t>CO</t>
    </r>
    <r>
      <rPr>
        <b/>
        <vertAlign val="subscript"/>
        <sz val="10"/>
        <rFont val="Geneva"/>
      </rPr>
      <t>2</t>
    </r>
    <r>
      <rPr>
        <b/>
        <sz val="10"/>
        <rFont val="Geneva"/>
      </rPr>
      <t xml:space="preserve"> Factor 
(kg / unit)</t>
    </r>
  </si>
  <si>
    <r>
      <t>CH</t>
    </r>
    <r>
      <rPr>
        <b/>
        <vertAlign val="subscript"/>
        <sz val="10"/>
        <rFont val="Geneva"/>
      </rPr>
      <t xml:space="preserve">4 </t>
    </r>
    <r>
      <rPr>
        <b/>
        <sz val="10"/>
        <rFont val="Geneva"/>
      </rPr>
      <t>Factor 
(g / unit)</t>
    </r>
  </si>
  <si>
    <r>
      <t>N</t>
    </r>
    <r>
      <rPr>
        <b/>
        <vertAlign val="subscript"/>
        <sz val="10"/>
        <rFont val="Geneva"/>
      </rPr>
      <t>2</t>
    </r>
    <r>
      <rPr>
        <b/>
        <sz val="10"/>
        <rFont val="Geneva"/>
      </rPr>
      <t>O Factor 
(g / unit)</t>
    </r>
  </si>
  <si>
    <t>Units</t>
  </si>
  <si>
    <t>Passenger Car</t>
  </si>
  <si>
    <t>vehicle-mile</t>
  </si>
  <si>
    <t>Light-duty Truck</t>
  </si>
  <si>
    <t>Motorcycle</t>
  </si>
  <si>
    <t>Intercity Rail (i.e. Amtrak)</t>
  </si>
  <si>
    <t>passenger-mile</t>
  </si>
  <si>
    <t>Commuter Rail</t>
  </si>
  <si>
    <t>Transit Rail (i.e. Subway, Tram)</t>
  </si>
  <si>
    <t>Bus</t>
  </si>
  <si>
    <t>Air Travel - Short Haul (&lt; 300 miles)</t>
  </si>
  <si>
    <t>Air Travel - Medium Haul (&gt;= 300 miles, 
&lt; 2300 miles)</t>
  </si>
  <si>
    <t>Air Travel - Long Haul (&gt;= 2300 miles)</t>
  </si>
  <si>
    <t xml:space="preserve">Sources: </t>
  </si>
  <si>
    <r>
      <t xml:space="preserve">US EPA (2008); </t>
    </r>
    <r>
      <rPr>
        <i/>
        <sz val="9"/>
        <rFont val="Geneva"/>
      </rPr>
      <t>Climate Leaders Greenhouse Gas Inventory Protocol Core Module Guidance, Optional Emissions from Employee Commuting, Business Travel and Product Transport.</t>
    </r>
  </si>
  <si>
    <r>
      <t>Air travel sourced from: Department for Environment Food and Rural Affairs (2011);</t>
    </r>
    <r>
      <rPr>
        <i/>
        <sz val="9"/>
        <rFont val="Geneva"/>
      </rPr>
      <t xml:space="preserve"> 2011 Guidelines to Defra / DECC's GHG Conversion Factors for Company Reporting.  Status Final; </t>
    </r>
    <r>
      <rPr>
        <sz val="9"/>
        <rFont val="Geneva"/>
      </rPr>
      <t>Version 1.0; updated July 7, 2011.</t>
    </r>
  </si>
  <si>
    <t>Table 9</t>
  </si>
  <si>
    <t>Product Transport Emission Factors</t>
  </si>
  <si>
    <t>Medium- and Heavy-duty Truck</t>
  </si>
  <si>
    <t>Truck</t>
  </si>
  <si>
    <t>ton-mile</t>
  </si>
  <si>
    <t>Rail</t>
  </si>
  <si>
    <t>Waterborne Craft</t>
  </si>
  <si>
    <t>Aircraft</t>
  </si>
  <si>
    <r>
      <rPr>
        <b/>
        <sz val="10"/>
        <rFont val="Geneva"/>
      </rPr>
      <t xml:space="preserve">Source: </t>
    </r>
    <r>
      <rPr>
        <b/>
        <sz val="9"/>
        <rFont val="Geneva"/>
      </rPr>
      <t xml:space="preserve">
</t>
    </r>
    <r>
      <rPr>
        <i/>
        <sz val="9"/>
        <rFont val="Geneva"/>
      </rPr>
      <t>Climate Leaders Greenhouse Gas Inventory Protocol Core Module Guidance, Optional Emissions from Employee Commuting,  Business Travel and Product Transport (May 2008).</t>
    </r>
  </si>
  <si>
    <t>Your Current Household Emissions</t>
  </si>
  <si>
    <t>Enter your data</t>
  </si>
  <si>
    <t>Pounds of carbon dioxide/year</t>
  </si>
  <si>
    <t>Equation explanations</t>
  </si>
  <si>
    <t>Assumptions</t>
  </si>
  <si>
    <t>The Basics</t>
  </si>
  <si>
    <t>How many people live in your home?</t>
  </si>
  <si>
    <t>How do you heat your house?</t>
  </si>
  <si>
    <r>
      <t xml:space="preserve">Enter </t>
    </r>
    <r>
      <rPr>
        <b/>
        <sz val="10"/>
        <rFont val="Arial"/>
        <family val="2"/>
      </rPr>
      <t>1</t>
    </r>
    <r>
      <rPr>
        <sz val="10"/>
        <rFont val="Arial"/>
        <family val="2"/>
      </rPr>
      <t xml:space="preserve"> for natural gas, </t>
    </r>
    <r>
      <rPr>
        <b/>
        <sz val="10"/>
        <rFont val="Arial"/>
        <family val="2"/>
      </rPr>
      <t>2</t>
    </r>
    <r>
      <rPr>
        <sz val="10"/>
        <rFont val="Arial"/>
        <family val="2"/>
      </rPr>
      <t xml:space="preserve"> for electric heat, or </t>
    </r>
    <r>
      <rPr>
        <b/>
        <sz val="10"/>
        <rFont val="Arial"/>
        <family val="2"/>
      </rPr>
      <t>3</t>
    </r>
    <r>
      <rPr>
        <sz val="10"/>
        <rFont val="Arial"/>
        <family val="2"/>
      </rPr>
      <t xml:space="preserve"> for oil</t>
    </r>
  </si>
  <si>
    <t>Transportation</t>
  </si>
  <si>
    <t>On average, how many miles do you put on your car(s)?</t>
  </si>
  <si>
    <r>
      <t xml:space="preserve">enter </t>
    </r>
    <r>
      <rPr>
        <b/>
        <sz val="10"/>
        <rFont val="Arial"/>
        <family val="2"/>
      </rPr>
      <t>1</t>
    </r>
    <r>
      <rPr>
        <sz val="10"/>
        <rFont val="Arial"/>
        <family val="2"/>
      </rPr>
      <t xml:space="preserve"> if this represents your miles per week or  </t>
    </r>
    <r>
      <rPr>
        <b/>
        <sz val="10"/>
        <rFont val="Arial"/>
        <family val="2"/>
      </rPr>
      <t>2</t>
    </r>
    <r>
      <rPr>
        <sz val="10"/>
        <rFont val="Arial"/>
        <family val="2"/>
      </rPr>
      <t xml:space="preserve"> if it's your miles per year</t>
    </r>
  </si>
  <si>
    <t>231 miles/week is about average in the United States per vehicle</t>
  </si>
  <si>
    <t>What is the average gas mileage for your car (miles per gallon)?</t>
  </si>
  <si>
    <t>Emissions  = (number of miles driven per week * weeks in a year) / average household fuel efficiency * pounds of CO2 emitted per gallon * emissions of greenhouse gases other than CO2</t>
  </si>
  <si>
    <t>pounds of CO2 emitted per gallon = 19.4</t>
  </si>
  <si>
    <t>If you don’t know your car’s fuel economy, you can look it up at https://www.fueleconomy.gov/feg/byclass.htm.</t>
  </si>
  <si>
    <t>12,100 pounds is about average per vehicle over a year</t>
  </si>
  <si>
    <t>emissions of greenhouse gases other than CO2 = 100/95</t>
  </si>
  <si>
    <t>Home Energy</t>
  </si>
  <si>
    <t>What is your average monthly electric bill?</t>
  </si>
  <si>
    <t>$</t>
  </si>
  <si>
    <t>Emissions =  (average monthly electric bill / price per kWh) * electricity emission factor  * months in a year</t>
  </si>
  <si>
    <t>average US price per kWh = $0.1</t>
  </si>
  <si>
    <t>$100 is about average in the United States for a household of two people.</t>
  </si>
  <si>
    <t>16,290 pounds is about average for a household of two people over a year.</t>
  </si>
  <si>
    <t>emission factor (electricity/kWh) = 1.37</t>
  </si>
  <si>
    <t>months in a year = 12</t>
  </si>
  <si>
    <t>Our calculations assume that you pay 10 cents/kWh. We estimate your emissions based on the national average mix of fuels used to generate electricity. Your actual emissions may be higher or lower depending on your electricity provider's power mix.</t>
  </si>
  <si>
    <t>What is your average monthly gas bill?</t>
  </si>
  <si>
    <t xml:space="preserve">Emissions = (average monthly gas bill / price per thousand cubic feet) natural gas emission factor * months in a year </t>
  </si>
  <si>
    <t>price per thousand cubic feet = $13.83</t>
  </si>
  <si>
    <t>$105 is about average in the United States for a household of two people.</t>
  </si>
  <si>
    <t>11,000 pounds is about average for a household of two people over a year.</t>
  </si>
  <si>
    <t>emission factor (natural gas/thousand cubic feet) = 120.61</t>
  </si>
  <si>
    <t>Our calculations assume that you pay $13.83/thousand cubic feet</t>
  </si>
  <si>
    <t>What is your average monthly fuel oil bill?</t>
  </si>
  <si>
    <t xml:space="preserve">Emissions =  (average monthly fuel oil bill / price per gallon) fuel oil emission factor * months in a year </t>
  </si>
  <si>
    <t>price per gallon = $2.37</t>
  </si>
  <si>
    <t>$130 is about average in the United States for a household of two people.</t>
  </si>
  <si>
    <t>14,500 pounds is about average for a household of two people over a year.</t>
  </si>
  <si>
    <t>emission factor (fuel oil/gallon) = 22.28</t>
  </si>
  <si>
    <t>Our calculations assume that you pay $2.37/gallon</t>
  </si>
  <si>
    <t>Waste</t>
  </si>
  <si>
    <t xml:space="preserve">Based on the number of people in your household, the box at right shows your estimated greenhouse gas emissions from waste. However, if you currently recycle certain materials, your waste emissions may be lower. </t>
  </si>
  <si>
    <t>Total Waste Emissions Before Recycling</t>
  </si>
  <si>
    <t>Emissions = number of people in household * average lb CO2 equivalent. generated from waste per person per year</t>
  </si>
  <si>
    <t>average lb CO2 equivalent. generated from waste per person per year = 1010</t>
  </si>
  <si>
    <t xml:space="preserve">Which of the following products do you currently recycle in your household? </t>
  </si>
  <si>
    <t>2,036 pounds is about average for a household of two people over a year.</t>
  </si>
  <si>
    <t>Do you recycle newspaper?</t>
  </si>
  <si>
    <t>If your household recycles newspaper, then, number of people in household * average number of pounds of CO2 equivalent per person per year that could be saved by recycling newspaper</t>
  </si>
  <si>
    <t>average number of pounds of CO2 equivalent per person per year that could be saved by recycling newspaper = 184.3</t>
  </si>
  <si>
    <t>Newspaper</t>
  </si>
  <si>
    <r>
      <t xml:space="preserve">enter </t>
    </r>
    <r>
      <rPr>
        <b/>
        <sz val="10"/>
        <rFont val="Arial"/>
        <family val="2"/>
      </rPr>
      <t>1</t>
    </r>
    <r>
      <rPr>
        <sz val="10"/>
        <rFont val="Arial"/>
        <family val="2"/>
      </rPr>
      <t xml:space="preserve"> for yes and </t>
    </r>
    <r>
      <rPr>
        <b/>
        <sz val="10"/>
        <rFont val="Arial"/>
        <family val="2"/>
      </rPr>
      <t>2</t>
    </r>
    <r>
      <rPr>
        <sz val="10"/>
        <rFont val="Arial"/>
        <family val="2"/>
      </rPr>
      <t xml:space="preserve"> for no</t>
    </r>
  </si>
  <si>
    <t>Do you recycle glass?</t>
  </si>
  <si>
    <t>If your household recycles glass, then, number of people in household * average number of pounds of CO2 equivalent per person per year that could be saved by recycling glass</t>
  </si>
  <si>
    <t>average number of pounds of CO2 equivalent per person per year that could be saved by recycling glass = 25.6</t>
  </si>
  <si>
    <t>Do you recycle plastic?</t>
  </si>
  <si>
    <t>If your household recycles plastic, then, number of people in household * average number of pounds of CO2 equivalent per person per year that could be saved by recycling plastic</t>
  </si>
  <si>
    <t>average number of pounds of CO2 equivalent per person per year that could be saved by recycling plastic = 46.6</t>
  </si>
  <si>
    <t>Plastic</t>
  </si>
  <si>
    <t>Do you recycle aluminum and steel cans?</t>
  </si>
  <si>
    <t>If your household recycles metal, then, number of people in household * average number of pounds of CO2 equivalent per person per year that could be saved by recycling plastic</t>
  </si>
  <si>
    <t>average number of pounds of CO2 equivalent per person per year that could be saved by recycling metal = 165.8</t>
  </si>
  <si>
    <t>Metal</t>
  </si>
  <si>
    <t>Total Waste Emissions After Recycling</t>
  </si>
  <si>
    <t>Total waste emissions before recycling + emission reduction from recycling newspaper + emission reduction from recycling glass + emission reduction from recycling plastic + emission reduction from recycling metal</t>
  </si>
  <si>
    <t>Your Total Emissions</t>
  </si>
  <si>
    <t>Total emissions = emissions from vehicle use + emissions from electricity + emissions from natural gas + emissions from fuel oil  + emissions from waste</t>
  </si>
  <si>
    <t>41,500 pounds is about average in the United States for a household of two people over a year</t>
  </si>
  <si>
    <t>What You Can Do to Reduce Your Emissions</t>
  </si>
  <si>
    <t>Suggested actions</t>
  </si>
  <si>
    <t>Pounds of CO2 you could avoid</t>
  </si>
  <si>
    <t>On the Road</t>
  </si>
  <si>
    <t>Are you in the market for a new car? Buy a vehicle that gets more miles per gallon than your current one.</t>
  </si>
  <si>
    <t>pounds of CO2 emitted per mile = 19.4</t>
  </si>
  <si>
    <t>more miles per gallon</t>
  </si>
  <si>
    <t>pounds/yr</t>
  </si>
  <si>
    <t>The Fuel Economy Web site (www.fueleconomy.gov) can help you find efficient vehicles.</t>
  </si>
  <si>
    <t>Give your car a break. Reduce the number of miles you drive by this amount.</t>
  </si>
  <si>
    <t>Emission reduction = (miles avoided per week * weeks in a year) / your current car's fuel efficiency (or your new car's fuel efficiency if you plan to buy a more efficient car) * pounds of CO2 emitted per gallon * emissions of greenhouse gases other than CO2</t>
  </si>
  <si>
    <t>miles per week</t>
  </si>
  <si>
    <t>Walking, biking, carpooling, telecommuting, and using mass transit are good options.</t>
  </si>
  <si>
    <t>At Home</t>
  </si>
  <si>
    <t xml:space="preserve">Turn down your thermostat by </t>
  </si>
  <si>
    <t xml:space="preserve">Emission reduction = CO2 emissions from heating * percentage of energy source allotted to heating * percent fuel consumption decrease per 1 degree * number of degrees thermostat is turned down </t>
  </si>
  <si>
    <t>percent fuel consumption decrease per 1 degree = 0.5</t>
  </si>
  <si>
    <t>degrees F on winter nights</t>
  </si>
  <si>
    <t>number of degrees</t>
  </si>
  <si>
    <t>Dropping the heat at night can make a difference.</t>
  </si>
  <si>
    <t xml:space="preserve">Replace 75-watt incandescent light bulbs with 25-watt ENERGY STAR lights. </t>
  </si>
  <si>
    <t>Emission reduction = number of 75-watt incandescent light bulbs replaced * annual kwh savings per lamp * electricity emission factor</t>
  </si>
  <si>
    <t>enter the number of bulbs you will replace</t>
  </si>
  <si>
    <t>annual kWh savings per lamp = 73</t>
  </si>
  <si>
    <t>You'll get the same amount of light for less energy and lower monthly bills. By replacing the five most frequently used lights in your home with ENERGY STAR qualified lighting, you can save about $60 each year in energy costs.</t>
  </si>
  <si>
    <t xml:space="preserve">Replace your old refrigerator with an ENERGY STAR model. Will you take this action?
</t>
  </si>
  <si>
    <t>Emission reduction = (average kWh/year old fridge - average kWh/year new fridge) electricity emission factor</t>
  </si>
  <si>
    <t>annual kWh savings = 380</t>
  </si>
  <si>
    <t>average kWh/year old fridge = 820</t>
  </si>
  <si>
    <t>average kWh new fridge 440</t>
  </si>
  <si>
    <t xml:space="preserve">Replace old gas or oil furnace or boiler with an ENERGY STAR model. Will you take this action? 
</t>
  </si>
  <si>
    <t>Emission reduction = (average MMBtus/year of old model - average MMBtus/year of new model) emission factor</t>
  </si>
  <si>
    <t>average MMBtus/year of old model = 115.71</t>
  </si>
  <si>
    <t>enter 1 for yes and 2 for no</t>
  </si>
  <si>
    <t>average MMBtus/year of new model = 90</t>
  </si>
  <si>
    <t>Turn up your air conditioner thermostat by</t>
  </si>
  <si>
    <t>Emission reduction = percent of total electricity emissions accounted for by air conditioning * percent emission reduction per degree * electricity emissions * number of degrees increased * assumed percentage of the year air conditioner is in use</t>
  </si>
  <si>
    <t>percent of total electricity emissions =.16</t>
  </si>
  <si>
    <t>degrees F</t>
  </si>
  <si>
    <t>percent emission reduction per degree = .05</t>
  </si>
  <si>
    <t>assumed percentage of the year air conditioner is in use = .42</t>
  </si>
  <si>
    <t xml:space="preserve">average single glazed windows annual energy loss (Btu) = 37,800,000 </t>
  </si>
  <si>
    <t xml:space="preserve">Replace single-glazed windows with ENERGY STAR windows. Will you take this action?
</t>
  </si>
  <si>
    <t>Emission reduction = (average single glazed windows annual energy loss (Btu) - Low-e annual energy loss (Btu)) emission factor</t>
  </si>
  <si>
    <t>average low-e annual energy loss (Btu) = 9,450,000</t>
  </si>
  <si>
    <t>Are you willing to start recycling the material(s) you don't currently recycle (review the items you checked in the waste emissions section above)?</t>
  </si>
  <si>
    <t>Emission Reduction = number of people in household * (average number of pounds of CO2 equivalent per person per year that could be saved by recycling newspaper + average number of pounds of CO2 equivalent per person per year that could be saved by recycling glass + average number of pounds of CO2 equivalent per person per year that could be saved by recycling plastic + +average number of pounds of CO2 equivalent per person per year that could be saved by recycling metal)</t>
  </si>
  <si>
    <r>
      <t xml:space="preserve">enter </t>
    </r>
    <r>
      <rPr>
        <b/>
        <sz val="10"/>
        <rFont val="Arial"/>
        <family val="2"/>
      </rPr>
      <t>1</t>
    </r>
    <r>
      <rPr>
        <sz val="10"/>
        <rFont val="Arial"/>
        <family val="2"/>
      </rPr>
      <t xml:space="preserve"> for yes and </t>
    </r>
    <r>
      <rPr>
        <b/>
        <sz val="10"/>
        <rFont val="Arial"/>
        <family val="2"/>
      </rPr>
      <t>2</t>
    </r>
    <r>
      <rPr>
        <sz val="10"/>
        <rFont val="Arial"/>
        <family val="2"/>
      </rPr>
      <t xml:space="preserve"> for no</t>
    </r>
  </si>
  <si>
    <t>pounds/year</t>
  </si>
  <si>
    <t xml:space="preserve">Could you also recycle magazines?
</t>
  </si>
  <si>
    <t>Emission Reduction = number of people in household * average number of pounds of CO2 equivalent per person per year that could be saved by recycling magazines</t>
  </si>
  <si>
    <t>average number of pounds of CO2 equivalent per person per year that could be saved by recycling magazines = 47.7</t>
  </si>
  <si>
    <t xml:space="preserve">If you took all the actions listed above, you would reduce your emissions by         </t>
  </si>
  <si>
    <t>pounds</t>
  </si>
  <si>
    <t>or</t>
  </si>
  <si>
    <t>of your total</t>
  </si>
  <si>
    <t>Your new total annual CO2 emissions would be</t>
  </si>
  <si>
    <t>Forbrug i DK,
 ton/år</t>
  </si>
  <si>
    <t>Region</t>
  </si>
  <si>
    <t>Asien</t>
  </si>
  <si>
    <t>Sydamerika</t>
  </si>
  <si>
    <t>Nordamerika</t>
  </si>
  <si>
    <t>USSR</t>
  </si>
  <si>
    <t>Oceanien</t>
  </si>
  <si>
    <t>Europa</t>
  </si>
  <si>
    <t>Verden</t>
  </si>
  <si>
    <r>
      <t>Produktion af CO</t>
    </r>
    <r>
      <rPr>
        <vertAlign val="subscript"/>
        <sz val="12"/>
        <rFont val="Times New Roman"/>
        <family val="1"/>
      </rPr>
      <t>2</t>
    </r>
    <r>
      <rPr>
        <sz val="12"/>
        <rFont val="Times New Roman"/>
        <family val="1"/>
      </rPr>
      <t xml:space="preserve"> pr indbygger for forskellige regioner i verden. Ton/år</t>
    </r>
  </si>
  <si>
    <t>Jernbane, eldrevet</t>
  </si>
  <si>
    <t>Jernbane, dieseldrevet</t>
  </si>
  <si>
    <t>Pr. 1000 Kg*km</t>
  </si>
  <si>
    <t>Lastbil, lasteevne 10 ton. Pr. 1000 Kg*km</t>
  </si>
  <si>
    <t>Lastbil, lasteevne 40 ton. Pr. 1000 Kg*km</t>
  </si>
  <si>
    <t>Skib, (1) langdistance Pr. 1000 Kg*km</t>
  </si>
  <si>
    <t>KWh</t>
  </si>
  <si>
    <t>0,06 - 0,10</t>
  </si>
  <si>
    <t>0,001-0,008</t>
  </si>
  <si>
    <t>0,015-0,025</t>
  </si>
  <si>
    <t>0,08 - 0,15</t>
  </si>
  <si>
    <t>0,019-0,029</t>
  </si>
  <si>
    <t>(1), lave tal for bulkcarriers, høje for containerskibe.)</t>
  </si>
  <si>
    <t>Data for transport, pr 1000 kg transporteret 1 km</t>
  </si>
  <si>
    <t>Data for fremstilling</t>
  </si>
  <si>
    <t>Der Medgår, energi</t>
  </si>
  <si>
    <t>Der medgår: Materiale</t>
  </si>
  <si>
    <t>Keramik</t>
  </si>
  <si>
    <t>kan fortrænge 4 MJ Fossilt brændsel / kg.</t>
  </si>
  <si>
    <t>kan fortrænge 19-22 MJ Fossilt brændsel / kg</t>
  </si>
  <si>
    <t>Fotokemisk ozondannelse</t>
  </si>
  <si>
    <r>
      <t>Bidrag omregnet til C</t>
    </r>
    <r>
      <rPr>
        <b/>
        <vertAlign val="subscript"/>
        <sz val="12"/>
        <rFont val="Times New Roman"/>
        <family val="1"/>
      </rPr>
      <t>2</t>
    </r>
    <r>
      <rPr>
        <b/>
        <sz val="12"/>
        <rFont val="Times New Roman"/>
        <family val="1"/>
      </rPr>
      <t>H</t>
    </r>
    <r>
      <rPr>
        <b/>
        <vertAlign val="subscript"/>
        <sz val="12"/>
        <rFont val="Times New Roman"/>
        <family val="1"/>
      </rPr>
      <t>4</t>
    </r>
    <r>
      <rPr>
        <b/>
        <sz val="12"/>
        <rFont val="Times New Roman"/>
        <family val="1"/>
      </rPr>
      <t xml:space="preserve"> - ækv.</t>
    </r>
  </si>
  <si>
    <t>Metan</t>
  </si>
  <si>
    <t>Div. kulbrinter</t>
  </si>
  <si>
    <t>Total bidrag</t>
  </si>
  <si>
    <r>
      <t>Bidrag omregnet til SO</t>
    </r>
    <r>
      <rPr>
        <b/>
        <vertAlign val="subscript"/>
        <sz val="12"/>
        <rFont val="Times New Roman"/>
        <family val="1"/>
      </rPr>
      <t>2</t>
    </r>
    <r>
      <rPr>
        <b/>
        <sz val="12"/>
        <rFont val="Times New Roman"/>
        <family val="1"/>
      </rPr>
      <t xml:space="preserve"> - ækv</t>
    </r>
  </si>
  <si>
    <t>Svovldioxid</t>
  </si>
  <si>
    <t>Næringssaltbelastning</t>
  </si>
  <si>
    <r>
      <t>Bidrag omregnet til NO</t>
    </r>
    <r>
      <rPr>
        <b/>
        <vertAlign val="subscript"/>
        <sz val="10"/>
        <rFont val="Times New Roman"/>
        <family val="1"/>
      </rPr>
      <t>3</t>
    </r>
    <r>
      <rPr>
        <b/>
        <sz val="10"/>
        <rFont val="Times New Roman"/>
        <family val="1"/>
      </rPr>
      <t xml:space="preserve"> - ækv.</t>
    </r>
  </si>
  <si>
    <t>Uspec. nitrogen</t>
  </si>
  <si>
    <t>Forsynings-horisont</t>
  </si>
  <si>
    <t>Person-reserver</t>
  </si>
  <si>
    <t>Metaller:</t>
  </si>
  <si>
    <t>kg/pers/år</t>
  </si>
  <si>
    <t>Kendte forsyningshorisonter og globale reserver pr. person</t>
  </si>
  <si>
    <t>Energiforbrug til visse transportformer</t>
  </si>
  <si>
    <t>Ressourceindhold i visse materialer</t>
  </si>
  <si>
    <t>Energiforbrug ved fremstilling og energiindhold for udvalgte materialer.</t>
  </si>
  <si>
    <t>Energiforbrug ved oparbejdning af udvalgte materialer.</t>
  </si>
  <si>
    <t>Energiforbrugene er estimeret fra UMIPdatabasen.</t>
  </si>
  <si>
    <t>Energiforbrug ved processer.</t>
  </si>
  <si>
    <t>Energiindhold i energiressourcer.</t>
  </si>
  <si>
    <t>Årlig produktion , reserver og forsyningshorisont</t>
  </si>
  <si>
    <t>for udvagte ressourcer</t>
  </si>
  <si>
    <t>Se :  http://www.polynet.dk/lenau/niki_bey_phd_thesis.pdf</t>
  </si>
  <si>
    <t>= 0,846 kg CO2</t>
  </si>
  <si>
    <t>El-produktion</t>
  </si>
  <si>
    <t>Coal</t>
  </si>
  <si>
    <t>Nuclear</t>
  </si>
  <si>
    <t xml:space="preserve">Renewable </t>
  </si>
  <si>
    <r>
      <t>Gennemsnitlig</t>
    </r>
    <r>
      <rPr>
        <sz val="11.5"/>
        <rFont val="TTE22D1548t00"/>
      </rPr>
      <t xml:space="preserve"> CO2-faktor, DK, 2004</t>
    </r>
  </si>
  <si>
    <t>0.92 kg CO2 /kWh</t>
  </si>
  <si>
    <t>0.52 kg CO2 /kWh</t>
  </si>
  <si>
    <t>0.0 kg CO2 /kWh</t>
  </si>
  <si>
    <t>494,5 g CO2/kWh.</t>
  </si>
  <si>
    <t>Varme-produktion</t>
  </si>
  <si>
    <t>Heating oil</t>
  </si>
  <si>
    <t>Woodfuel (if sustainable)</t>
  </si>
  <si>
    <t>Gasoline / Petrol</t>
  </si>
  <si>
    <t>0.19 kg CO2 /kWh</t>
  </si>
  <si>
    <t>0.21 kg CO2 /kWh</t>
  </si>
  <si>
    <t>0.27 kg CO2 /kWh</t>
  </si>
  <si>
    <t>0.32 kg CO2 /kWh</t>
  </si>
  <si>
    <t>2.30 kg CO2 /litre</t>
  </si>
  <si>
    <t>2.63 kg CO2 /litre</t>
  </si>
  <si>
    <t xml:space="preserve">Fjernvarme: </t>
  </si>
  <si>
    <t>Kulfyret</t>
  </si>
  <si>
    <t xml:space="preserve">Oliefyret </t>
  </si>
  <si>
    <t>Naturgasfyret</t>
  </si>
  <si>
    <t>= 59 kg CO2/GJ</t>
  </si>
  <si>
    <t>= 49 kg CO2/GJ</t>
  </si>
  <si>
    <t>= 36 kg CO2/GJ</t>
  </si>
  <si>
    <t>Individuel varmeproduktion:</t>
  </si>
  <si>
    <t>Naturgasfyr</t>
  </si>
  <si>
    <t>Elvarme</t>
  </si>
  <si>
    <t>= 99 kg CO2/GJ</t>
  </si>
  <si>
    <t>= 71 kg CO2/GJ</t>
  </si>
  <si>
    <t>= 0,872 kg CO2/KWh</t>
  </si>
  <si>
    <t>Personbil</t>
  </si>
  <si>
    <t>Cykel</t>
  </si>
  <si>
    <t>Gå</t>
  </si>
  <si>
    <t>Bykørsel (benzin)</t>
  </si>
  <si>
    <t>Bykørsel (diesel)</t>
  </si>
  <si>
    <t>Landkørsel (benzin)</t>
  </si>
  <si>
    <t>Landkørsel (diesel)</t>
  </si>
  <si>
    <t>El-drevet</t>
  </si>
  <si>
    <t>Dieseldrevet</t>
  </si>
  <si>
    <t>S-tog</t>
  </si>
  <si>
    <t>Bykørsel</t>
  </si>
  <si>
    <t xml:space="preserve">Landkørsel  </t>
  </si>
  <si>
    <t>Jetfly</t>
  </si>
  <si>
    <t>Propelfly</t>
  </si>
  <si>
    <t>= 0,000 kg CO2/km</t>
  </si>
  <si>
    <t>= 0,234 kg CO2/bil/km</t>
  </si>
  <si>
    <t>= 0,198 kg CO2/bil/km</t>
  </si>
  <si>
    <t>= 0,199 kg CO2/bil/km</t>
  </si>
  <si>
    <t>= 0,142 kg CO2/bil/km</t>
  </si>
  <si>
    <t>= 0,019 kg CO2/plkm (dvs. per person/km)</t>
  </si>
  <si>
    <t>= 0,017 kg CO2/plkm</t>
  </si>
  <si>
    <t>= 0,059 kg CO2/plkm</t>
  </si>
  <si>
    <t>= 0,092 kg CO2/plkm</t>
  </si>
  <si>
    <t>= 0,071 kg CO2/plkm.</t>
  </si>
  <si>
    <t>= 0,277 kg CO2/plkm</t>
  </si>
  <si>
    <t>= 0,184 kg CO2/plkm</t>
  </si>
  <si>
    <t>Affald, Genbrug</t>
  </si>
  <si>
    <t>Genbrug af papir</t>
  </si>
  <si>
    <t>= 0,6 kg CO2 pr. kg papir  (spares der)</t>
  </si>
  <si>
    <t>Genbrug af glas</t>
  </si>
  <si>
    <t>= 0,2 kg CO2 pr. kg glas (spares der)</t>
  </si>
  <si>
    <r>
      <t xml:space="preserve">0.67 </t>
    </r>
    <r>
      <rPr>
        <sz val="11.5"/>
        <rFont val="TTE22D1548t00"/>
      </rPr>
      <t xml:space="preserve">af Danmarks elektricitetsproduktion </t>
    </r>
  </si>
  <si>
    <t>CO2-emission (=udslip) for forskellige typer af aktiviteter/apparater</t>
  </si>
  <si>
    <t>ifølge en artikel i det videnskabelige tidsskrift Nature.</t>
  </si>
  <si>
    <t>CO2-udslip i 2004</t>
  </si>
  <si>
    <t>Total</t>
  </si>
  <si>
    <t>i ton</t>
  </si>
  <si>
    <t>Per person*</t>
  </si>
  <si>
    <t>indbyggere: 5,40 mio</t>
  </si>
  <si>
    <t>i ton/år</t>
  </si>
  <si>
    <t>Husholdningernes totale energiforbrug, varme &amp; El</t>
  </si>
  <si>
    <t>Persontransportarbejde i Danmark, 2004, i mio personkilometer</t>
  </si>
  <si>
    <t xml:space="preserve">Cykler/Knallerter max. 30 km/t </t>
  </si>
  <si>
    <t>Motoriserede køretøjer i alt</t>
  </si>
  <si>
    <t xml:space="preserve">Private biler </t>
  </si>
  <si>
    <t xml:space="preserve">Disel </t>
  </si>
  <si>
    <t xml:space="preserve">Benzin </t>
  </si>
  <si>
    <t xml:space="preserve">Knallert 45 max. 45 km/h </t>
  </si>
  <si>
    <t xml:space="preserve">Varevogne under 2001 kg </t>
  </si>
  <si>
    <t xml:space="preserve">Busser og rutebiler i alt </t>
  </si>
  <si>
    <t xml:space="preserve">Bybusser </t>
  </si>
  <si>
    <t xml:space="preserve">Rutebiler og andre busser </t>
  </si>
  <si>
    <t xml:space="preserve">Busser til privat kørsel </t>
  </si>
  <si>
    <t xml:space="preserve">Tog </t>
  </si>
  <si>
    <t xml:space="preserve">Skibe </t>
  </si>
  <si>
    <t xml:space="preserve">Fly </t>
  </si>
  <si>
    <t>Kilde: Danmarks Statistik, 2006</t>
  </si>
  <si>
    <t>Se: http://www.lcafood.dk/</t>
  </si>
  <si>
    <t>Fuel properties</t>
  </si>
  <si>
    <t>Net CV</t>
  </si>
  <si>
    <t>Gross CV</t>
  </si>
  <si>
    <t>Density</t>
  </si>
  <si>
    <t>GJ/tonne</t>
  </si>
  <si>
    <r>
      <t>kg/m</t>
    </r>
    <r>
      <rPr>
        <vertAlign val="superscript"/>
        <sz val="10"/>
        <rFont val="Arial"/>
        <family val="2"/>
      </rPr>
      <t>3</t>
    </r>
  </si>
  <si>
    <t>litres/tonne</t>
  </si>
  <si>
    <t>kWh/kg</t>
  </si>
  <si>
    <t>Commonly Used Fossil Fuels</t>
  </si>
  <si>
    <t>Aviation Spirit</t>
  </si>
  <si>
    <t>Aviation Turbine Fuel</t>
  </si>
  <si>
    <r>
      <t xml:space="preserve">Burning Oil </t>
    </r>
    <r>
      <rPr>
        <vertAlign val="superscript"/>
        <sz val="10"/>
        <rFont val="Arial"/>
        <family val="2"/>
      </rPr>
      <t>1</t>
    </r>
  </si>
  <si>
    <r>
      <t xml:space="preserve">Coal (domestic) </t>
    </r>
    <r>
      <rPr>
        <vertAlign val="superscript"/>
        <sz val="10"/>
        <rFont val="Arial"/>
        <family val="2"/>
      </rPr>
      <t>2</t>
    </r>
  </si>
  <si>
    <r>
      <t xml:space="preserve">Coal (electricity generation) </t>
    </r>
    <r>
      <rPr>
        <vertAlign val="superscript"/>
        <sz val="10"/>
        <rFont val="Arial"/>
        <family val="2"/>
      </rPr>
      <t>3</t>
    </r>
  </si>
  <si>
    <r>
      <t xml:space="preserve">Coal (industrial) </t>
    </r>
    <r>
      <rPr>
        <vertAlign val="superscript"/>
        <sz val="10"/>
        <rFont val="Arial"/>
        <family val="2"/>
      </rPr>
      <t>4</t>
    </r>
  </si>
  <si>
    <t>Coking Coal</t>
  </si>
  <si>
    <t>Fuel Oil</t>
  </si>
  <si>
    <t>Gas Oil</t>
  </si>
  <si>
    <t>Naphtha</t>
  </si>
  <si>
    <t>Petrol</t>
  </si>
  <si>
    <t>Other Fuels</t>
  </si>
  <si>
    <r>
      <t xml:space="preserve">Biodiesel (ME) </t>
    </r>
    <r>
      <rPr>
        <vertAlign val="superscript"/>
        <sz val="10"/>
        <rFont val="Arial"/>
        <family val="2"/>
      </rPr>
      <t>5</t>
    </r>
  </si>
  <si>
    <r>
      <t xml:space="preserve">Biodiesel (BtL or HVO) </t>
    </r>
    <r>
      <rPr>
        <vertAlign val="superscript"/>
        <sz val="10"/>
        <rFont val="Arial"/>
        <family val="2"/>
      </rPr>
      <t>6</t>
    </r>
  </si>
  <si>
    <r>
      <t xml:space="preserve">Bioethanol </t>
    </r>
    <r>
      <rPr>
        <vertAlign val="superscript"/>
        <sz val="10"/>
        <rFont val="Arial"/>
        <family val="2"/>
      </rPr>
      <t>7</t>
    </r>
  </si>
  <si>
    <r>
      <t xml:space="preserve">BioETBE </t>
    </r>
    <r>
      <rPr>
        <vertAlign val="superscript"/>
        <sz val="10"/>
        <rFont val="Arial"/>
        <family val="2"/>
      </rPr>
      <t>8</t>
    </r>
  </si>
  <si>
    <r>
      <t xml:space="preserve">Biogas </t>
    </r>
    <r>
      <rPr>
        <vertAlign val="superscript"/>
        <sz val="10"/>
        <rFont val="Arial"/>
        <family val="2"/>
      </rPr>
      <t>9</t>
    </r>
  </si>
  <si>
    <r>
      <t xml:space="preserve">Biomethane </t>
    </r>
    <r>
      <rPr>
        <vertAlign val="superscript"/>
        <sz val="10"/>
        <rFont val="Arial"/>
        <family val="2"/>
      </rPr>
      <t>10</t>
    </r>
  </si>
  <si>
    <r>
      <t xml:space="preserve">CNG </t>
    </r>
    <r>
      <rPr>
        <vertAlign val="superscript"/>
        <sz val="10"/>
        <rFont val="Arial"/>
        <family val="2"/>
      </rPr>
      <t>11</t>
    </r>
  </si>
  <si>
    <r>
      <t xml:space="preserve">Grasses/Straw </t>
    </r>
    <r>
      <rPr>
        <vertAlign val="superscript"/>
        <sz val="10"/>
        <rFont val="Arial"/>
        <family val="2"/>
      </rPr>
      <t>12</t>
    </r>
  </si>
  <si>
    <r>
      <t xml:space="preserve">LNG </t>
    </r>
    <r>
      <rPr>
        <vertAlign val="superscript"/>
        <sz val="10"/>
        <rFont val="Arial"/>
        <family val="2"/>
      </rPr>
      <t>13</t>
    </r>
  </si>
  <si>
    <r>
      <t xml:space="preserve">Wood Chips </t>
    </r>
    <r>
      <rPr>
        <vertAlign val="superscript"/>
        <sz val="10"/>
        <rFont val="Arial"/>
        <family val="2"/>
      </rPr>
      <t>12</t>
    </r>
  </si>
  <si>
    <r>
      <t xml:space="preserve">Wood Logs </t>
    </r>
    <r>
      <rPr>
        <vertAlign val="superscript"/>
        <sz val="10"/>
        <rFont val="Arial"/>
        <family val="2"/>
      </rPr>
      <t>12</t>
    </r>
  </si>
  <si>
    <r>
      <t xml:space="preserve">Wood Pellets </t>
    </r>
    <r>
      <rPr>
        <vertAlign val="superscript"/>
        <sz val="10"/>
        <rFont val="Arial"/>
        <family val="2"/>
      </rPr>
      <t>12</t>
    </r>
  </si>
  <si>
    <r>
      <t>Methane (CH</t>
    </r>
    <r>
      <rPr>
        <vertAlign val="subscript"/>
        <sz val="10"/>
        <rFont val="Arial"/>
        <family val="2"/>
      </rPr>
      <t>4</t>
    </r>
    <r>
      <rPr>
        <sz val="10"/>
        <rFont val="Arial"/>
        <family val="2"/>
      </rPr>
      <t>)</t>
    </r>
  </si>
  <si>
    <r>
      <t>Carbon Dioxide (CO</t>
    </r>
    <r>
      <rPr>
        <vertAlign val="subscript"/>
        <sz val="10"/>
        <rFont val="Arial"/>
        <family val="2"/>
      </rPr>
      <t>2</t>
    </r>
    <r>
      <rPr>
        <sz val="10"/>
        <rFont val="Arial"/>
        <family val="2"/>
      </rPr>
      <t>)</t>
    </r>
  </si>
  <si>
    <t>The Kyoto protocol seeks to reduce emissions of the following six greenhouse gases.</t>
  </si>
  <si>
    <r>
      <t>Carbon Dioxide CO</t>
    </r>
    <r>
      <rPr>
        <vertAlign val="subscript"/>
        <sz val="10"/>
        <rFont val="Arial"/>
        <family val="2"/>
      </rPr>
      <t>2</t>
    </r>
  </si>
  <si>
    <r>
      <t>Methane CH</t>
    </r>
    <r>
      <rPr>
        <vertAlign val="subscript"/>
        <sz val="10"/>
        <rFont val="Arial"/>
        <family val="2"/>
      </rPr>
      <t>4</t>
    </r>
  </si>
  <si>
    <r>
      <t>Nitrous oxide N</t>
    </r>
    <r>
      <rPr>
        <vertAlign val="subscript"/>
        <sz val="10"/>
        <rFont val="Arial"/>
        <family val="2"/>
      </rPr>
      <t>2</t>
    </r>
    <r>
      <rPr>
        <sz val="10"/>
        <rFont val="Arial"/>
        <family val="2"/>
      </rPr>
      <t>O</t>
    </r>
  </si>
  <si>
    <t>Perfluorocarbons PFC</t>
  </si>
  <si>
    <r>
      <t>Sulphur Hexafluoride SF</t>
    </r>
    <r>
      <rPr>
        <vertAlign val="subscript"/>
        <sz val="10"/>
        <rFont val="Arial"/>
        <family val="2"/>
      </rPr>
      <t>6</t>
    </r>
  </si>
  <si>
    <t>Hydrofluorocarbons HFC</t>
  </si>
  <si>
    <t>Below is a table that highlights the gases that are likely to be produced by a variety of the industries in the UK that are most likely to have a significant impact on climate change. The dark areas represent the gases that are likely to be produced.</t>
  </si>
  <si>
    <r>
      <t>Process related emissions</t>
    </r>
    <r>
      <rPr>
        <b/>
        <vertAlign val="superscript"/>
        <sz val="10"/>
        <color indexed="9"/>
        <rFont val="Arial"/>
        <family val="2"/>
      </rPr>
      <t xml:space="preserve"> 1</t>
    </r>
  </si>
  <si>
    <t>Process</t>
  </si>
  <si>
    <t>Emission</t>
  </si>
  <si>
    <t>PFC</t>
  </si>
  <si>
    <r>
      <t>SF</t>
    </r>
    <r>
      <rPr>
        <vertAlign val="subscript"/>
        <sz val="10"/>
        <rFont val="Arial"/>
        <family val="2"/>
      </rPr>
      <t>6</t>
    </r>
  </si>
  <si>
    <t>HFC</t>
  </si>
  <si>
    <t>Mineral Products</t>
  </si>
  <si>
    <t>Cement Production</t>
  </si>
  <si>
    <t>Lime Production</t>
  </si>
  <si>
    <r>
      <t>Limestone Use</t>
    </r>
    <r>
      <rPr>
        <vertAlign val="superscript"/>
        <sz val="8"/>
        <rFont val="Arial"/>
        <family val="2"/>
      </rPr>
      <t xml:space="preserve"> 2</t>
    </r>
  </si>
  <si>
    <t>Soda Ash Production and Use</t>
  </si>
  <si>
    <r>
      <t>Fletton Brick Manufacture</t>
    </r>
    <r>
      <rPr>
        <vertAlign val="superscript"/>
        <sz val="8"/>
        <rFont val="Arial"/>
        <family val="2"/>
      </rPr>
      <t xml:space="preserve"> 3</t>
    </r>
  </si>
  <si>
    <t>Chemical Industry</t>
  </si>
  <si>
    <t>Ammonia</t>
  </si>
  <si>
    <t>Nitric Acid</t>
  </si>
  <si>
    <t>Adpic Acid</t>
  </si>
  <si>
    <t>Urea</t>
  </si>
  <si>
    <t>Carbides</t>
  </si>
  <si>
    <t>Caprolactam</t>
  </si>
  <si>
    <t>Petrochemicals</t>
  </si>
  <si>
    <t>Metal Production</t>
  </si>
  <si>
    <t>Iron, Steel and Ferroalloys</t>
  </si>
  <si>
    <t>Other Metals</t>
  </si>
  <si>
    <t>Energy Industry</t>
  </si>
  <si>
    <t>Coal mining</t>
  </si>
  <si>
    <t>Solid fuel transformation</t>
  </si>
  <si>
    <t>Oil production</t>
  </si>
  <si>
    <t>Gas production and distribution</t>
  </si>
  <si>
    <t>Venting and flaring from oil/gas production</t>
  </si>
  <si>
    <t>Production of Halocarbons</t>
  </si>
  <si>
    <r>
      <t>Use of Halocarbons and SF</t>
    </r>
    <r>
      <rPr>
        <vertAlign val="subscript"/>
        <sz val="8"/>
        <rFont val="Arial"/>
        <family val="2"/>
      </rPr>
      <t>6</t>
    </r>
  </si>
  <si>
    <t>Organic waste management</t>
  </si>
  <si>
    <t>Factors for Process Emissions - Greenhouse Gases Listed in the Kyoto Protocol</t>
  </si>
  <si>
    <t>Amount Emitted per Year in tonnes</t>
  </si>
  <si>
    <t>x</t>
  </si>
  <si>
    <t>Conversion Factor (GWP)</t>
  </si>
  <si>
    <t>Unit conversion tonnes to kg</t>
  </si>
  <si>
    <r>
      <t>Total kg CO</t>
    </r>
    <r>
      <rPr>
        <vertAlign val="subscript"/>
        <sz val="10"/>
        <rFont val="Arial"/>
        <family val="2"/>
      </rPr>
      <t>2</t>
    </r>
    <r>
      <rPr>
        <sz val="10"/>
        <rFont val="Arial"/>
        <family val="2"/>
      </rPr>
      <t>e</t>
    </r>
  </si>
  <si>
    <t>Carbon Dioxide</t>
  </si>
  <si>
    <r>
      <t>CO</t>
    </r>
    <r>
      <rPr>
        <vertAlign val="subscript"/>
        <sz val="8"/>
        <rFont val="Arial"/>
        <family val="2"/>
      </rPr>
      <t>2</t>
    </r>
  </si>
  <si>
    <r>
      <t>CH</t>
    </r>
    <r>
      <rPr>
        <vertAlign val="subscript"/>
        <sz val="8"/>
        <rFont val="Arial"/>
        <family val="2"/>
      </rPr>
      <t>4</t>
    </r>
  </si>
  <si>
    <t>Nitrous Oxide</t>
  </si>
  <si>
    <r>
      <t>N</t>
    </r>
    <r>
      <rPr>
        <vertAlign val="subscript"/>
        <sz val="8"/>
        <rFont val="Arial"/>
        <family val="2"/>
      </rPr>
      <t>2</t>
    </r>
    <r>
      <rPr>
        <sz val="8"/>
        <rFont val="Arial"/>
        <family val="2"/>
      </rPr>
      <t>O</t>
    </r>
  </si>
  <si>
    <r>
      <t>CHF</t>
    </r>
    <r>
      <rPr>
        <vertAlign val="subscript"/>
        <sz val="8"/>
        <rFont val="Arial"/>
        <family val="2"/>
      </rPr>
      <t>3</t>
    </r>
  </si>
  <si>
    <r>
      <t>CH</t>
    </r>
    <r>
      <rPr>
        <vertAlign val="subscript"/>
        <sz val="8"/>
        <rFont val="Arial"/>
        <family val="2"/>
      </rPr>
      <t>2</t>
    </r>
    <r>
      <rPr>
        <sz val="8"/>
        <rFont val="Arial"/>
        <family val="2"/>
      </rPr>
      <t>F</t>
    </r>
    <r>
      <rPr>
        <vertAlign val="subscript"/>
        <sz val="8"/>
        <rFont val="Arial"/>
        <family val="2"/>
      </rPr>
      <t>2</t>
    </r>
  </si>
  <si>
    <r>
      <t>CH</t>
    </r>
    <r>
      <rPr>
        <vertAlign val="subscript"/>
        <sz val="8"/>
        <rFont val="Arial"/>
        <family val="2"/>
      </rPr>
      <t>3</t>
    </r>
    <r>
      <rPr>
        <sz val="8"/>
        <rFont val="Arial"/>
        <family val="2"/>
      </rPr>
      <t>F</t>
    </r>
  </si>
  <si>
    <r>
      <t>CHF</t>
    </r>
    <r>
      <rPr>
        <vertAlign val="subscript"/>
        <sz val="8"/>
        <rFont val="Arial"/>
        <family val="2"/>
      </rPr>
      <t>2</t>
    </r>
    <r>
      <rPr>
        <sz val="8"/>
        <rFont val="Arial"/>
        <family val="2"/>
      </rPr>
      <t>CF</t>
    </r>
    <r>
      <rPr>
        <vertAlign val="subscript"/>
        <sz val="8"/>
        <rFont val="Arial"/>
        <family val="2"/>
      </rPr>
      <t>3</t>
    </r>
  </si>
  <si>
    <r>
      <t>CHF</t>
    </r>
    <r>
      <rPr>
        <vertAlign val="subscript"/>
        <sz val="8"/>
        <rFont val="Arial"/>
        <family val="2"/>
      </rPr>
      <t>2</t>
    </r>
    <r>
      <rPr>
        <sz val="8"/>
        <rFont val="Arial"/>
        <family val="2"/>
      </rPr>
      <t>CHF</t>
    </r>
    <r>
      <rPr>
        <vertAlign val="subscript"/>
        <sz val="8"/>
        <rFont val="Arial"/>
        <family val="2"/>
      </rPr>
      <t>2</t>
    </r>
  </si>
  <si>
    <r>
      <t>CH</t>
    </r>
    <r>
      <rPr>
        <vertAlign val="subscript"/>
        <sz val="8"/>
        <rFont val="Arial"/>
        <family val="2"/>
      </rPr>
      <t>2</t>
    </r>
    <r>
      <rPr>
        <sz val="8"/>
        <rFont val="Arial"/>
        <family val="2"/>
      </rPr>
      <t>FCF</t>
    </r>
    <r>
      <rPr>
        <vertAlign val="subscript"/>
        <sz val="8"/>
        <rFont val="Arial"/>
        <family val="2"/>
      </rPr>
      <t>3</t>
    </r>
  </si>
  <si>
    <r>
      <t>CH</t>
    </r>
    <r>
      <rPr>
        <vertAlign val="subscript"/>
        <sz val="8"/>
        <rFont val="Arial"/>
        <family val="2"/>
      </rPr>
      <t>3</t>
    </r>
    <r>
      <rPr>
        <sz val="8"/>
        <rFont val="Arial"/>
        <family val="2"/>
      </rPr>
      <t>CF</t>
    </r>
    <r>
      <rPr>
        <vertAlign val="subscript"/>
        <sz val="8"/>
        <rFont val="Arial"/>
        <family val="2"/>
      </rPr>
      <t>3</t>
    </r>
  </si>
  <si>
    <r>
      <t>CH</t>
    </r>
    <r>
      <rPr>
        <vertAlign val="subscript"/>
        <sz val="8"/>
        <rFont val="Arial"/>
        <family val="2"/>
      </rPr>
      <t>3</t>
    </r>
    <r>
      <rPr>
        <sz val="8"/>
        <rFont val="Arial"/>
        <family val="2"/>
      </rPr>
      <t>CHF</t>
    </r>
    <r>
      <rPr>
        <vertAlign val="subscript"/>
        <sz val="8"/>
        <rFont val="Arial"/>
        <family val="2"/>
      </rPr>
      <t>2</t>
    </r>
  </si>
  <si>
    <r>
      <t>CF</t>
    </r>
    <r>
      <rPr>
        <vertAlign val="subscript"/>
        <sz val="8"/>
        <rFont val="Arial"/>
        <family val="2"/>
      </rPr>
      <t>3</t>
    </r>
    <r>
      <rPr>
        <sz val="8"/>
        <rFont val="Arial"/>
        <family val="2"/>
      </rPr>
      <t>CHFCF</t>
    </r>
    <r>
      <rPr>
        <vertAlign val="subscript"/>
        <sz val="8"/>
        <rFont val="Arial"/>
        <family val="2"/>
      </rPr>
      <t>3</t>
    </r>
  </si>
  <si>
    <r>
      <t>CF</t>
    </r>
    <r>
      <rPr>
        <vertAlign val="subscript"/>
        <sz val="8"/>
        <rFont val="Arial"/>
        <family val="2"/>
      </rPr>
      <t>3</t>
    </r>
    <r>
      <rPr>
        <sz val="8"/>
        <rFont val="Arial"/>
        <family val="2"/>
      </rPr>
      <t>CH</t>
    </r>
    <r>
      <rPr>
        <vertAlign val="subscript"/>
        <sz val="8"/>
        <rFont val="Arial"/>
        <family val="2"/>
      </rPr>
      <t>2</t>
    </r>
    <r>
      <rPr>
        <sz val="8"/>
        <rFont val="Arial"/>
        <family val="2"/>
      </rPr>
      <t>CF</t>
    </r>
    <r>
      <rPr>
        <vertAlign val="subscript"/>
        <sz val="8"/>
        <rFont val="Arial"/>
        <family val="2"/>
      </rPr>
      <t>3</t>
    </r>
  </si>
  <si>
    <r>
      <t>CHF</t>
    </r>
    <r>
      <rPr>
        <vertAlign val="subscript"/>
        <sz val="8"/>
        <rFont val="Arial"/>
        <family val="2"/>
      </rPr>
      <t>2</t>
    </r>
    <r>
      <rPr>
        <sz val="8"/>
        <rFont val="Arial"/>
        <family val="2"/>
      </rPr>
      <t>CH</t>
    </r>
    <r>
      <rPr>
        <vertAlign val="subscript"/>
        <sz val="8"/>
        <rFont val="Arial"/>
        <family val="2"/>
      </rPr>
      <t>2</t>
    </r>
    <r>
      <rPr>
        <sz val="8"/>
        <rFont val="Arial"/>
        <family val="2"/>
      </rPr>
      <t>CF</t>
    </r>
    <r>
      <rPr>
        <vertAlign val="subscript"/>
        <sz val="8"/>
        <rFont val="Arial"/>
        <family val="2"/>
      </rPr>
      <t>3</t>
    </r>
  </si>
  <si>
    <r>
      <t>CH</t>
    </r>
    <r>
      <rPr>
        <vertAlign val="subscript"/>
        <sz val="8"/>
        <rFont val="Arial"/>
        <family val="2"/>
      </rPr>
      <t>3</t>
    </r>
    <r>
      <rPr>
        <sz val="8"/>
        <rFont val="Arial"/>
        <family val="2"/>
      </rPr>
      <t>CF</t>
    </r>
    <r>
      <rPr>
        <vertAlign val="subscript"/>
        <sz val="8"/>
        <rFont val="Arial"/>
        <family val="2"/>
      </rPr>
      <t>2</t>
    </r>
    <r>
      <rPr>
        <sz val="8"/>
        <rFont val="Arial"/>
        <family val="2"/>
      </rPr>
      <t>CH</t>
    </r>
    <r>
      <rPr>
        <vertAlign val="subscript"/>
        <sz val="8"/>
        <rFont val="Arial"/>
        <family val="2"/>
      </rPr>
      <t>2</t>
    </r>
    <r>
      <rPr>
        <sz val="8"/>
        <rFont val="Arial"/>
        <family val="2"/>
      </rPr>
      <t>CF</t>
    </r>
    <r>
      <rPr>
        <vertAlign val="subscript"/>
        <sz val="8"/>
        <rFont val="Arial"/>
        <family val="2"/>
      </rPr>
      <t>3</t>
    </r>
  </si>
  <si>
    <t>HFC-43-I0mee</t>
  </si>
  <si>
    <r>
      <t>CF</t>
    </r>
    <r>
      <rPr>
        <vertAlign val="subscript"/>
        <sz val="8"/>
        <rFont val="Arial"/>
        <family val="2"/>
      </rPr>
      <t>3</t>
    </r>
    <r>
      <rPr>
        <sz val="8"/>
        <rFont val="Arial"/>
        <family val="2"/>
      </rPr>
      <t>CHFCHFCF</t>
    </r>
    <r>
      <rPr>
        <vertAlign val="subscript"/>
        <sz val="8"/>
        <rFont val="Arial"/>
        <family val="2"/>
      </rPr>
      <t>2</t>
    </r>
    <r>
      <rPr>
        <sz val="8"/>
        <rFont val="Arial"/>
        <family val="2"/>
      </rPr>
      <t>CF</t>
    </r>
    <r>
      <rPr>
        <vertAlign val="subscript"/>
        <sz val="8"/>
        <rFont val="Arial"/>
        <family val="2"/>
      </rPr>
      <t>3</t>
    </r>
  </si>
  <si>
    <t>Perfluoromethane (PFC-14)</t>
  </si>
  <si>
    <r>
      <t>CF</t>
    </r>
    <r>
      <rPr>
        <vertAlign val="subscript"/>
        <sz val="8"/>
        <rFont val="Arial"/>
        <family val="2"/>
      </rPr>
      <t>4</t>
    </r>
  </si>
  <si>
    <t>Perfluoroethane (PFC-116)</t>
  </si>
  <si>
    <r>
      <t>C</t>
    </r>
    <r>
      <rPr>
        <vertAlign val="subscript"/>
        <sz val="8"/>
        <rFont val="Arial"/>
        <family val="2"/>
      </rPr>
      <t>2</t>
    </r>
    <r>
      <rPr>
        <sz val="8"/>
        <rFont val="Arial"/>
        <family val="2"/>
      </rPr>
      <t>F</t>
    </r>
    <r>
      <rPr>
        <vertAlign val="subscript"/>
        <sz val="8"/>
        <rFont val="Arial"/>
        <family val="2"/>
      </rPr>
      <t>6</t>
    </r>
  </si>
  <si>
    <t>Perfluoropropane (PFC-218)</t>
  </si>
  <si>
    <r>
      <t>C</t>
    </r>
    <r>
      <rPr>
        <vertAlign val="subscript"/>
        <sz val="8"/>
        <rFont val="Arial"/>
        <family val="2"/>
      </rPr>
      <t>3</t>
    </r>
    <r>
      <rPr>
        <sz val="8"/>
        <rFont val="Arial"/>
        <family val="2"/>
      </rPr>
      <t>F</t>
    </r>
    <r>
      <rPr>
        <vertAlign val="subscript"/>
        <sz val="8"/>
        <rFont val="Arial"/>
        <family val="2"/>
      </rPr>
      <t>8</t>
    </r>
  </si>
  <si>
    <t>Perfluorocyclobutane (PFC-318)</t>
  </si>
  <si>
    <r>
      <t>c-C</t>
    </r>
    <r>
      <rPr>
        <vertAlign val="subscript"/>
        <sz val="8"/>
        <rFont val="Arial"/>
        <family val="2"/>
      </rPr>
      <t>4</t>
    </r>
    <r>
      <rPr>
        <sz val="8"/>
        <rFont val="Arial"/>
        <family val="2"/>
      </rPr>
      <t>F</t>
    </r>
    <r>
      <rPr>
        <vertAlign val="subscript"/>
        <sz val="8"/>
        <rFont val="Arial"/>
        <family val="2"/>
      </rPr>
      <t>8</t>
    </r>
  </si>
  <si>
    <t>Perfluorobutane (PFC-3-1-10)</t>
  </si>
  <si>
    <r>
      <t>C</t>
    </r>
    <r>
      <rPr>
        <vertAlign val="subscript"/>
        <sz val="8"/>
        <rFont val="Arial"/>
        <family val="2"/>
      </rPr>
      <t>4</t>
    </r>
    <r>
      <rPr>
        <sz val="8"/>
        <rFont val="Arial"/>
        <family val="2"/>
      </rPr>
      <t>F</t>
    </r>
    <r>
      <rPr>
        <vertAlign val="subscript"/>
        <sz val="8"/>
        <rFont val="Arial"/>
        <family val="2"/>
      </rPr>
      <t>10</t>
    </r>
  </si>
  <si>
    <t>Perfluoropentane (PFC-4-1-12)</t>
  </si>
  <si>
    <r>
      <t>C</t>
    </r>
    <r>
      <rPr>
        <vertAlign val="subscript"/>
        <sz val="8"/>
        <rFont val="Arial"/>
        <family val="2"/>
      </rPr>
      <t>5</t>
    </r>
    <r>
      <rPr>
        <sz val="8"/>
        <rFont val="Arial"/>
        <family val="2"/>
      </rPr>
      <t>F</t>
    </r>
    <r>
      <rPr>
        <vertAlign val="subscript"/>
        <sz val="8"/>
        <rFont val="Arial"/>
        <family val="2"/>
      </rPr>
      <t>12</t>
    </r>
  </si>
  <si>
    <t>Perfluorohexane (PFC-5-1-14)</t>
  </si>
  <si>
    <r>
      <t>C</t>
    </r>
    <r>
      <rPr>
        <vertAlign val="subscript"/>
        <sz val="8"/>
        <rFont val="Arial"/>
        <family val="2"/>
      </rPr>
      <t>6</t>
    </r>
    <r>
      <rPr>
        <sz val="8"/>
        <rFont val="Arial"/>
        <family val="2"/>
      </rPr>
      <t>F</t>
    </r>
    <r>
      <rPr>
        <vertAlign val="subscript"/>
        <sz val="8"/>
        <rFont val="Arial"/>
        <family val="2"/>
      </rPr>
      <t>14</t>
    </r>
  </si>
  <si>
    <r>
      <t>SF</t>
    </r>
    <r>
      <rPr>
        <vertAlign val="subscript"/>
        <sz val="8"/>
        <rFont val="Arial"/>
        <family val="2"/>
      </rPr>
      <t>6</t>
    </r>
  </si>
  <si>
    <t>Blends</t>
  </si>
  <si>
    <t>R404A</t>
  </si>
  <si>
    <t>52:44:4 blend of HFC-143a, -125 and -134a</t>
  </si>
  <si>
    <t>R407C</t>
  </si>
  <si>
    <t>23:25:52 blend of HFC-32, -125 and -134a</t>
  </si>
  <si>
    <t>R408A</t>
  </si>
  <si>
    <t>47:7:46 blend HCFC-22, HFC-125 and HFC-143a</t>
  </si>
  <si>
    <t>R410A</t>
  </si>
  <si>
    <t>50:50 blend of HFC-32 and -125</t>
  </si>
  <si>
    <t>R507</t>
  </si>
  <si>
    <t>50:50 blend of HFC-125 and HFC-143a</t>
  </si>
  <si>
    <t>R508B</t>
  </si>
  <si>
    <t>46:54 blend of HFC-23 and PFC-116</t>
  </si>
  <si>
    <r>
      <rPr>
        <vertAlign val="superscript"/>
        <sz val="10"/>
        <rFont val="Arial"/>
        <family val="2"/>
      </rPr>
      <t xml:space="preserve">1 </t>
    </r>
    <r>
      <rPr>
        <sz val="10"/>
        <rFont val="Arial"/>
        <family val="2"/>
      </rPr>
      <t>Over the period of one century. The length of time a GWP is referenced to is important. 100 year GWPs were adopted for use under the UNFCCC and Kyoto Protocol.</t>
    </r>
  </si>
  <si>
    <t>Factors for Process Emissions - Other Greenhouse Gases (e.g. other refrigerants)</t>
  </si>
  <si>
    <t>Substances controlled by the Montreal Protocol</t>
  </si>
  <si>
    <t>CFC-11/R11 = Trichlorofluoromethane</t>
  </si>
  <si>
    <r>
      <t>CCl</t>
    </r>
    <r>
      <rPr>
        <vertAlign val="subscript"/>
        <sz val="8"/>
        <rFont val="Arial"/>
        <family val="2"/>
      </rPr>
      <t>3</t>
    </r>
    <r>
      <rPr>
        <sz val="8"/>
        <rFont val="Arial"/>
        <family val="2"/>
      </rPr>
      <t>F</t>
    </r>
  </si>
  <si>
    <t>CFC-12/R12 = Dichlorodifluoromethane</t>
  </si>
  <si>
    <r>
      <t>CCl</t>
    </r>
    <r>
      <rPr>
        <vertAlign val="subscript"/>
        <sz val="8"/>
        <rFont val="Arial"/>
        <family val="2"/>
      </rPr>
      <t>2</t>
    </r>
    <r>
      <rPr>
        <sz val="8"/>
        <rFont val="Arial"/>
        <family val="2"/>
      </rPr>
      <t>F</t>
    </r>
    <r>
      <rPr>
        <vertAlign val="subscript"/>
        <sz val="8"/>
        <rFont val="Arial"/>
        <family val="2"/>
      </rPr>
      <t>2</t>
    </r>
  </si>
  <si>
    <r>
      <t>CClF</t>
    </r>
    <r>
      <rPr>
        <vertAlign val="subscript"/>
        <sz val="8"/>
        <rFont val="Arial"/>
        <family val="2"/>
      </rPr>
      <t>3</t>
    </r>
  </si>
  <si>
    <r>
      <t>CCl</t>
    </r>
    <r>
      <rPr>
        <vertAlign val="subscript"/>
        <sz val="8"/>
        <rFont val="Arial"/>
        <family val="2"/>
      </rPr>
      <t>2</t>
    </r>
    <r>
      <rPr>
        <sz val="8"/>
        <rFont val="Arial"/>
        <family val="2"/>
      </rPr>
      <t>FCClF</t>
    </r>
    <r>
      <rPr>
        <vertAlign val="subscript"/>
        <sz val="8"/>
        <rFont val="Arial"/>
        <family val="2"/>
      </rPr>
      <t>2</t>
    </r>
  </si>
  <si>
    <r>
      <t>CClF</t>
    </r>
    <r>
      <rPr>
        <vertAlign val="subscript"/>
        <sz val="8"/>
        <rFont val="Arial"/>
        <family val="2"/>
      </rPr>
      <t>2</t>
    </r>
    <r>
      <rPr>
        <sz val="8"/>
        <rFont val="Arial"/>
        <family val="2"/>
      </rPr>
      <t>CClF</t>
    </r>
    <r>
      <rPr>
        <vertAlign val="subscript"/>
        <sz val="8"/>
        <rFont val="Arial"/>
        <family val="2"/>
      </rPr>
      <t>2</t>
    </r>
  </si>
  <si>
    <r>
      <t>CClF</t>
    </r>
    <r>
      <rPr>
        <vertAlign val="subscript"/>
        <sz val="8"/>
        <rFont val="Arial"/>
        <family val="2"/>
      </rPr>
      <t>2</t>
    </r>
    <r>
      <rPr>
        <sz val="8"/>
        <rFont val="Arial"/>
        <family val="2"/>
      </rPr>
      <t>CF</t>
    </r>
    <r>
      <rPr>
        <vertAlign val="subscript"/>
        <sz val="8"/>
        <rFont val="Arial"/>
        <family val="2"/>
      </rPr>
      <t>3</t>
    </r>
  </si>
  <si>
    <r>
      <t>CBrClF</t>
    </r>
    <r>
      <rPr>
        <vertAlign val="subscript"/>
        <sz val="8"/>
        <rFont val="Arial"/>
        <family val="2"/>
      </rPr>
      <t>2</t>
    </r>
  </si>
  <si>
    <r>
      <t>CBrF</t>
    </r>
    <r>
      <rPr>
        <vertAlign val="subscript"/>
        <sz val="8"/>
        <rFont val="Arial"/>
        <family val="2"/>
      </rPr>
      <t>3</t>
    </r>
  </si>
  <si>
    <r>
      <t>CBrF</t>
    </r>
    <r>
      <rPr>
        <vertAlign val="subscript"/>
        <sz val="8"/>
        <rFont val="Arial"/>
        <family val="2"/>
      </rPr>
      <t>2</t>
    </r>
    <r>
      <rPr>
        <sz val="8"/>
        <rFont val="Arial"/>
        <family val="2"/>
      </rPr>
      <t>CBrF</t>
    </r>
    <r>
      <rPr>
        <vertAlign val="subscript"/>
        <sz val="8"/>
        <rFont val="Arial"/>
        <family val="2"/>
      </rPr>
      <t>2</t>
    </r>
  </si>
  <si>
    <r>
      <t>CCl</t>
    </r>
    <r>
      <rPr>
        <vertAlign val="subscript"/>
        <sz val="8"/>
        <rFont val="Arial"/>
        <family val="2"/>
      </rPr>
      <t>4</t>
    </r>
  </si>
  <si>
    <r>
      <t>CH</t>
    </r>
    <r>
      <rPr>
        <vertAlign val="subscript"/>
        <sz val="8"/>
        <rFont val="Arial"/>
        <family val="2"/>
      </rPr>
      <t>3</t>
    </r>
    <r>
      <rPr>
        <sz val="8"/>
        <rFont val="Arial"/>
        <family val="2"/>
      </rPr>
      <t>Br</t>
    </r>
  </si>
  <si>
    <r>
      <t>CH</t>
    </r>
    <r>
      <rPr>
        <vertAlign val="subscript"/>
        <sz val="8"/>
        <rFont val="Arial"/>
        <family val="2"/>
      </rPr>
      <t>3</t>
    </r>
    <r>
      <rPr>
        <sz val="8"/>
        <rFont val="Arial"/>
        <family val="2"/>
      </rPr>
      <t>CCl</t>
    </r>
    <r>
      <rPr>
        <vertAlign val="subscript"/>
        <sz val="8"/>
        <rFont val="Arial"/>
        <family val="2"/>
      </rPr>
      <t>3</t>
    </r>
  </si>
  <si>
    <t>HCFC-22/R22 = Chlorodifluoromethane</t>
  </si>
  <si>
    <r>
      <t>CHClF</t>
    </r>
    <r>
      <rPr>
        <vertAlign val="subscript"/>
        <sz val="8"/>
        <rFont val="Arial"/>
        <family val="2"/>
      </rPr>
      <t>2</t>
    </r>
  </si>
  <si>
    <r>
      <t>CHCl</t>
    </r>
    <r>
      <rPr>
        <vertAlign val="subscript"/>
        <sz val="8"/>
        <rFont val="Arial"/>
        <family val="2"/>
      </rPr>
      <t>2</t>
    </r>
    <r>
      <rPr>
        <sz val="8"/>
        <rFont val="Arial"/>
        <family val="2"/>
      </rPr>
      <t>CF</t>
    </r>
    <r>
      <rPr>
        <vertAlign val="subscript"/>
        <sz val="8"/>
        <rFont val="Arial"/>
        <family val="2"/>
      </rPr>
      <t>3</t>
    </r>
  </si>
  <si>
    <r>
      <t>CHClFCF</t>
    </r>
    <r>
      <rPr>
        <vertAlign val="subscript"/>
        <sz val="8"/>
        <rFont val="Arial"/>
        <family val="2"/>
      </rPr>
      <t>3</t>
    </r>
  </si>
  <si>
    <r>
      <t>CH</t>
    </r>
    <r>
      <rPr>
        <vertAlign val="subscript"/>
        <sz val="8"/>
        <rFont val="Arial"/>
        <family val="2"/>
      </rPr>
      <t>3</t>
    </r>
    <r>
      <rPr>
        <sz val="8"/>
        <rFont val="Arial"/>
        <family val="2"/>
      </rPr>
      <t>CCl</t>
    </r>
    <r>
      <rPr>
        <vertAlign val="subscript"/>
        <sz val="8"/>
        <rFont val="Arial"/>
        <family val="2"/>
      </rPr>
      <t>2</t>
    </r>
    <r>
      <rPr>
        <sz val="8"/>
        <rFont val="Arial"/>
        <family val="2"/>
      </rPr>
      <t>F</t>
    </r>
  </si>
  <si>
    <r>
      <t>CH</t>
    </r>
    <r>
      <rPr>
        <vertAlign val="subscript"/>
        <sz val="8"/>
        <rFont val="Arial"/>
        <family val="2"/>
      </rPr>
      <t>3</t>
    </r>
    <r>
      <rPr>
        <sz val="8"/>
        <rFont val="Arial"/>
        <family val="2"/>
      </rPr>
      <t>CClF</t>
    </r>
    <r>
      <rPr>
        <vertAlign val="subscript"/>
        <sz val="8"/>
        <rFont val="Arial"/>
        <family val="2"/>
      </rPr>
      <t>2</t>
    </r>
  </si>
  <si>
    <t xml:space="preserve">HCFC-225ca  </t>
  </si>
  <si>
    <r>
      <t>CHCl</t>
    </r>
    <r>
      <rPr>
        <vertAlign val="subscript"/>
        <sz val="8"/>
        <rFont val="Arial"/>
        <family val="2"/>
      </rPr>
      <t>2</t>
    </r>
    <r>
      <rPr>
        <sz val="8"/>
        <rFont val="Arial"/>
        <family val="2"/>
      </rPr>
      <t>CF</t>
    </r>
    <r>
      <rPr>
        <vertAlign val="subscript"/>
        <sz val="8"/>
        <rFont val="Arial"/>
        <family val="2"/>
      </rPr>
      <t>2</t>
    </r>
    <r>
      <rPr>
        <sz val="8"/>
        <rFont val="Arial"/>
        <family val="2"/>
      </rPr>
      <t>CF</t>
    </r>
    <r>
      <rPr>
        <vertAlign val="subscript"/>
        <sz val="8"/>
        <rFont val="Arial"/>
        <family val="2"/>
      </rPr>
      <t>3</t>
    </r>
  </si>
  <si>
    <t xml:space="preserve">HCFC-225cb  </t>
  </si>
  <si>
    <r>
      <t>CHClFCF</t>
    </r>
    <r>
      <rPr>
        <vertAlign val="subscript"/>
        <sz val="8"/>
        <rFont val="Arial"/>
        <family val="2"/>
      </rPr>
      <t>2</t>
    </r>
    <r>
      <rPr>
        <sz val="8"/>
        <rFont val="Arial"/>
        <family val="2"/>
      </rPr>
      <t>CClF</t>
    </r>
    <r>
      <rPr>
        <vertAlign val="subscript"/>
        <sz val="8"/>
        <rFont val="Arial"/>
        <family val="2"/>
      </rPr>
      <t>2</t>
    </r>
  </si>
  <si>
    <t>Other Perfluorinated compounds</t>
  </si>
  <si>
    <t xml:space="preserve">Nitrogen trifluoride  </t>
  </si>
  <si>
    <r>
      <t>NF</t>
    </r>
    <r>
      <rPr>
        <vertAlign val="subscript"/>
        <sz val="8"/>
        <rFont val="Arial"/>
        <family val="2"/>
      </rPr>
      <t>3</t>
    </r>
  </si>
  <si>
    <t xml:space="preserve">PFC-4-1-12  </t>
  </si>
  <si>
    <t xml:space="preserve">PFC-9-1-18  </t>
  </si>
  <si>
    <r>
      <t>C</t>
    </r>
    <r>
      <rPr>
        <vertAlign val="subscript"/>
        <sz val="8"/>
        <rFont val="Arial"/>
        <family val="2"/>
      </rPr>
      <t>10</t>
    </r>
    <r>
      <rPr>
        <sz val="8"/>
        <rFont val="Arial"/>
        <family val="2"/>
      </rPr>
      <t>F</t>
    </r>
    <r>
      <rPr>
        <vertAlign val="subscript"/>
        <sz val="8"/>
        <rFont val="Arial"/>
        <family val="2"/>
      </rPr>
      <t>18</t>
    </r>
  </si>
  <si>
    <t xml:space="preserve">trifluoromethyl sulphur pentafluoride  </t>
  </si>
  <si>
    <r>
      <t>SF</t>
    </r>
    <r>
      <rPr>
        <vertAlign val="subscript"/>
        <sz val="8"/>
        <rFont val="Arial"/>
        <family val="2"/>
      </rPr>
      <t>5</t>
    </r>
    <r>
      <rPr>
        <sz val="8"/>
        <rFont val="Arial"/>
        <family val="2"/>
      </rPr>
      <t>CF</t>
    </r>
    <r>
      <rPr>
        <vertAlign val="subscript"/>
        <sz val="8"/>
        <rFont val="Arial"/>
        <family val="2"/>
      </rPr>
      <t>3</t>
    </r>
  </si>
  <si>
    <t>Fluorinated ethers</t>
  </si>
  <si>
    <r>
      <t>CHF</t>
    </r>
    <r>
      <rPr>
        <vertAlign val="subscript"/>
        <sz val="8"/>
        <rFont val="Arial"/>
        <family val="2"/>
      </rPr>
      <t>2</t>
    </r>
    <r>
      <rPr>
        <sz val="8"/>
        <rFont val="Arial"/>
        <family val="2"/>
      </rPr>
      <t>OCF</t>
    </r>
    <r>
      <rPr>
        <vertAlign val="subscript"/>
        <sz val="8"/>
        <rFont val="Arial"/>
        <family val="2"/>
      </rPr>
      <t>3</t>
    </r>
  </si>
  <si>
    <r>
      <t>CHF</t>
    </r>
    <r>
      <rPr>
        <vertAlign val="subscript"/>
        <sz val="8"/>
        <rFont val="Arial"/>
        <family val="2"/>
      </rPr>
      <t>2</t>
    </r>
    <r>
      <rPr>
        <sz val="8"/>
        <rFont val="Arial"/>
        <family val="2"/>
      </rPr>
      <t>OCHF</t>
    </r>
    <r>
      <rPr>
        <vertAlign val="subscript"/>
        <sz val="8"/>
        <rFont val="Arial"/>
        <family val="2"/>
      </rPr>
      <t>2</t>
    </r>
  </si>
  <si>
    <r>
      <t>CH</t>
    </r>
    <r>
      <rPr>
        <vertAlign val="subscript"/>
        <sz val="8"/>
        <rFont val="Arial"/>
        <family val="2"/>
      </rPr>
      <t>3</t>
    </r>
    <r>
      <rPr>
        <sz val="8"/>
        <rFont val="Arial"/>
        <family val="2"/>
      </rPr>
      <t>OCF</t>
    </r>
    <r>
      <rPr>
        <vertAlign val="subscript"/>
        <sz val="8"/>
        <rFont val="Arial"/>
        <family val="2"/>
      </rPr>
      <t>3</t>
    </r>
  </si>
  <si>
    <t>HCFE-235da2</t>
  </si>
  <si>
    <r>
      <t>CHF</t>
    </r>
    <r>
      <rPr>
        <vertAlign val="subscript"/>
        <sz val="8"/>
        <rFont val="Arial"/>
        <family val="2"/>
      </rPr>
      <t>2</t>
    </r>
    <r>
      <rPr>
        <sz val="8"/>
        <rFont val="Arial"/>
        <family val="2"/>
      </rPr>
      <t>OCHClCF</t>
    </r>
    <r>
      <rPr>
        <vertAlign val="subscript"/>
        <sz val="8"/>
        <rFont val="Arial"/>
        <family val="2"/>
      </rPr>
      <t>3</t>
    </r>
  </si>
  <si>
    <r>
      <t>CH</t>
    </r>
    <r>
      <rPr>
        <vertAlign val="subscript"/>
        <sz val="8"/>
        <rFont val="Arial"/>
        <family val="2"/>
      </rPr>
      <t>3</t>
    </r>
    <r>
      <rPr>
        <sz val="8"/>
        <rFont val="Arial"/>
        <family val="2"/>
      </rPr>
      <t>OCF</t>
    </r>
    <r>
      <rPr>
        <vertAlign val="subscript"/>
        <sz val="8"/>
        <rFont val="Arial"/>
        <family val="2"/>
      </rPr>
      <t>2</t>
    </r>
    <r>
      <rPr>
        <sz val="8"/>
        <rFont val="Arial"/>
        <family val="2"/>
      </rPr>
      <t>CHF</t>
    </r>
    <r>
      <rPr>
        <vertAlign val="subscript"/>
        <sz val="8"/>
        <rFont val="Arial"/>
        <family val="2"/>
      </rPr>
      <t>2</t>
    </r>
  </si>
  <si>
    <r>
      <t>CHF</t>
    </r>
    <r>
      <rPr>
        <vertAlign val="subscript"/>
        <sz val="8"/>
        <rFont val="Arial"/>
        <family val="2"/>
      </rPr>
      <t>2</t>
    </r>
    <r>
      <rPr>
        <sz val="8"/>
        <rFont val="Arial"/>
        <family val="2"/>
      </rPr>
      <t>OCH</t>
    </r>
    <r>
      <rPr>
        <vertAlign val="subscript"/>
        <sz val="8"/>
        <rFont val="Arial"/>
        <family val="2"/>
      </rPr>
      <t>2</t>
    </r>
    <r>
      <rPr>
        <sz val="8"/>
        <rFont val="Arial"/>
        <family val="2"/>
      </rPr>
      <t>CF</t>
    </r>
    <r>
      <rPr>
        <vertAlign val="subscript"/>
        <sz val="8"/>
        <rFont val="Arial"/>
        <family val="2"/>
      </rPr>
      <t>3</t>
    </r>
  </si>
  <si>
    <r>
      <t>CH</t>
    </r>
    <r>
      <rPr>
        <vertAlign val="subscript"/>
        <sz val="8"/>
        <rFont val="Arial"/>
        <family val="2"/>
      </rPr>
      <t>3</t>
    </r>
    <r>
      <rPr>
        <sz val="8"/>
        <rFont val="Arial"/>
        <family val="2"/>
      </rPr>
      <t>OCF</t>
    </r>
    <r>
      <rPr>
        <vertAlign val="subscript"/>
        <sz val="8"/>
        <rFont val="Arial"/>
        <family val="2"/>
      </rPr>
      <t>2</t>
    </r>
    <r>
      <rPr>
        <sz val="8"/>
        <rFont val="Arial"/>
        <family val="2"/>
      </rPr>
      <t>CF</t>
    </r>
    <r>
      <rPr>
        <vertAlign val="subscript"/>
        <sz val="8"/>
        <rFont val="Arial"/>
        <family val="2"/>
      </rPr>
      <t>2</t>
    </r>
    <r>
      <rPr>
        <sz val="8"/>
        <rFont val="Arial"/>
        <family val="2"/>
      </rPr>
      <t>CF</t>
    </r>
    <r>
      <rPr>
        <vertAlign val="subscript"/>
        <sz val="8"/>
        <rFont val="Arial"/>
        <family val="2"/>
      </rPr>
      <t>3</t>
    </r>
  </si>
  <si>
    <r>
      <t>CHF</t>
    </r>
    <r>
      <rPr>
        <vertAlign val="subscript"/>
        <sz val="8"/>
        <rFont val="Arial"/>
        <family val="2"/>
      </rPr>
      <t>2</t>
    </r>
    <r>
      <rPr>
        <sz val="8"/>
        <rFont val="Arial"/>
        <family val="2"/>
      </rPr>
      <t>CF</t>
    </r>
    <r>
      <rPr>
        <vertAlign val="subscript"/>
        <sz val="8"/>
        <rFont val="Arial"/>
        <family val="2"/>
      </rPr>
      <t>2</t>
    </r>
    <r>
      <rPr>
        <sz val="8"/>
        <rFont val="Arial"/>
        <family val="2"/>
      </rPr>
      <t>OCH</t>
    </r>
    <r>
      <rPr>
        <vertAlign val="subscript"/>
        <sz val="8"/>
        <rFont val="Arial"/>
        <family val="2"/>
      </rPr>
      <t>2</t>
    </r>
    <r>
      <rPr>
        <sz val="8"/>
        <rFont val="Arial"/>
        <family val="2"/>
      </rPr>
      <t>CF</t>
    </r>
    <r>
      <rPr>
        <vertAlign val="subscript"/>
        <sz val="8"/>
        <rFont val="Arial"/>
        <family val="2"/>
      </rPr>
      <t>3</t>
    </r>
  </si>
  <si>
    <r>
      <t>CH</t>
    </r>
    <r>
      <rPr>
        <vertAlign val="subscript"/>
        <sz val="8"/>
        <rFont val="Arial"/>
        <family val="2"/>
      </rPr>
      <t>3</t>
    </r>
    <r>
      <rPr>
        <sz val="8"/>
        <rFont val="Arial"/>
        <family val="2"/>
      </rPr>
      <t>OCF</t>
    </r>
    <r>
      <rPr>
        <vertAlign val="subscript"/>
        <sz val="8"/>
        <rFont val="Arial"/>
        <family val="2"/>
      </rPr>
      <t>2</t>
    </r>
    <r>
      <rPr>
        <sz val="8"/>
        <rFont val="Arial"/>
        <family val="2"/>
      </rPr>
      <t>CF</t>
    </r>
    <r>
      <rPr>
        <vertAlign val="subscript"/>
        <sz val="8"/>
        <rFont val="Arial"/>
        <family val="2"/>
      </rPr>
      <t>2</t>
    </r>
    <r>
      <rPr>
        <sz val="8"/>
        <rFont val="Arial"/>
        <family val="2"/>
      </rPr>
      <t>CHF</t>
    </r>
    <r>
      <rPr>
        <vertAlign val="subscript"/>
        <sz val="8"/>
        <rFont val="Arial"/>
        <family val="2"/>
      </rPr>
      <t>2</t>
    </r>
  </si>
  <si>
    <t>HFE-449sl (HFE-7100)</t>
  </si>
  <si>
    <r>
      <t>C</t>
    </r>
    <r>
      <rPr>
        <vertAlign val="subscript"/>
        <sz val="8"/>
        <rFont val="Arial"/>
        <family val="2"/>
      </rPr>
      <t>4</t>
    </r>
    <r>
      <rPr>
        <sz val="8"/>
        <rFont val="Arial"/>
        <family val="2"/>
      </rPr>
      <t>F</t>
    </r>
    <r>
      <rPr>
        <vertAlign val="subscript"/>
        <sz val="8"/>
        <rFont val="Arial"/>
        <family val="2"/>
      </rPr>
      <t>9</t>
    </r>
    <r>
      <rPr>
        <sz val="8"/>
        <rFont val="Arial"/>
        <family val="2"/>
      </rPr>
      <t>OCH</t>
    </r>
    <r>
      <rPr>
        <vertAlign val="subscript"/>
        <sz val="8"/>
        <rFont val="Arial"/>
        <family val="2"/>
      </rPr>
      <t>3</t>
    </r>
  </si>
  <si>
    <t>HFE-569sf2 (HFE-7200)</t>
  </si>
  <si>
    <r>
      <t>C</t>
    </r>
    <r>
      <rPr>
        <vertAlign val="subscript"/>
        <sz val="8"/>
        <rFont val="Arial"/>
        <family val="2"/>
      </rPr>
      <t>4</t>
    </r>
    <r>
      <rPr>
        <sz val="8"/>
        <rFont val="Arial"/>
        <family val="2"/>
      </rPr>
      <t>F</t>
    </r>
    <r>
      <rPr>
        <vertAlign val="subscript"/>
        <sz val="8"/>
        <rFont val="Arial"/>
        <family val="2"/>
      </rPr>
      <t>9</t>
    </r>
    <r>
      <rPr>
        <sz val="8"/>
        <rFont val="Arial"/>
        <family val="2"/>
      </rPr>
      <t>OC</t>
    </r>
    <r>
      <rPr>
        <vertAlign val="subscript"/>
        <sz val="8"/>
        <rFont val="Arial"/>
        <family val="2"/>
      </rPr>
      <t>2</t>
    </r>
    <r>
      <rPr>
        <sz val="8"/>
        <rFont val="Arial"/>
        <family val="2"/>
      </rPr>
      <t>H</t>
    </r>
    <r>
      <rPr>
        <vertAlign val="subscript"/>
        <sz val="8"/>
        <rFont val="Arial"/>
        <family val="2"/>
      </rPr>
      <t>5</t>
    </r>
  </si>
  <si>
    <t>HFE-43-10pccc124 (H-Galden1040x)</t>
  </si>
  <si>
    <r>
      <t>CHF</t>
    </r>
    <r>
      <rPr>
        <vertAlign val="subscript"/>
        <sz val="8"/>
        <rFont val="Arial"/>
        <family val="2"/>
      </rPr>
      <t>2</t>
    </r>
    <r>
      <rPr>
        <sz val="8"/>
        <rFont val="Arial"/>
        <family val="2"/>
      </rPr>
      <t>OCF</t>
    </r>
    <r>
      <rPr>
        <vertAlign val="subscript"/>
        <sz val="8"/>
        <rFont val="Arial"/>
        <family val="2"/>
      </rPr>
      <t>2</t>
    </r>
    <r>
      <rPr>
        <sz val="8"/>
        <rFont val="Arial"/>
        <family val="2"/>
      </rPr>
      <t>OC</t>
    </r>
    <r>
      <rPr>
        <vertAlign val="subscript"/>
        <sz val="8"/>
        <rFont val="Arial"/>
        <family val="2"/>
      </rPr>
      <t>2</t>
    </r>
    <r>
      <rPr>
        <sz val="8"/>
        <rFont val="Arial"/>
        <family val="2"/>
      </rPr>
      <t>F</t>
    </r>
    <r>
      <rPr>
        <vertAlign val="subscript"/>
        <sz val="8"/>
        <rFont val="Arial"/>
        <family val="2"/>
      </rPr>
      <t>4</t>
    </r>
    <r>
      <rPr>
        <sz val="8"/>
        <rFont val="Arial"/>
        <family val="2"/>
      </rPr>
      <t>OCHF</t>
    </r>
    <r>
      <rPr>
        <vertAlign val="subscript"/>
        <sz val="8"/>
        <rFont val="Arial"/>
        <family val="2"/>
      </rPr>
      <t>2</t>
    </r>
  </si>
  <si>
    <r>
      <t>CHF</t>
    </r>
    <r>
      <rPr>
        <vertAlign val="subscript"/>
        <sz val="8"/>
        <rFont val="Arial"/>
        <family val="2"/>
      </rPr>
      <t>2</t>
    </r>
    <r>
      <rPr>
        <sz val="8"/>
        <rFont val="Arial"/>
        <family val="2"/>
      </rPr>
      <t>OCF</t>
    </r>
    <r>
      <rPr>
        <vertAlign val="subscript"/>
        <sz val="8"/>
        <rFont val="Arial"/>
        <family val="2"/>
      </rPr>
      <t>2</t>
    </r>
    <r>
      <rPr>
        <sz val="8"/>
        <rFont val="Arial"/>
        <family val="2"/>
      </rPr>
      <t>OCHF</t>
    </r>
    <r>
      <rPr>
        <vertAlign val="subscript"/>
        <sz val="8"/>
        <rFont val="Arial"/>
        <family val="2"/>
      </rPr>
      <t>2</t>
    </r>
  </si>
  <si>
    <r>
      <t>CHF</t>
    </r>
    <r>
      <rPr>
        <vertAlign val="subscript"/>
        <sz val="8"/>
        <rFont val="Arial"/>
        <family val="2"/>
      </rPr>
      <t>2</t>
    </r>
    <r>
      <rPr>
        <sz val="8"/>
        <rFont val="Arial"/>
        <family val="2"/>
      </rPr>
      <t>OCF</t>
    </r>
    <r>
      <rPr>
        <vertAlign val="subscript"/>
        <sz val="8"/>
        <rFont val="Arial"/>
        <family val="2"/>
      </rPr>
      <t>2</t>
    </r>
    <r>
      <rPr>
        <sz val="8"/>
        <rFont val="Arial"/>
        <family val="2"/>
      </rPr>
      <t>CF</t>
    </r>
    <r>
      <rPr>
        <vertAlign val="subscript"/>
        <sz val="8"/>
        <rFont val="Arial"/>
        <family val="2"/>
      </rPr>
      <t>2</t>
    </r>
    <r>
      <rPr>
        <sz val="8"/>
        <rFont val="Arial"/>
        <family val="2"/>
      </rPr>
      <t>OCHF</t>
    </r>
    <r>
      <rPr>
        <vertAlign val="subscript"/>
        <sz val="8"/>
        <rFont val="Arial"/>
        <family val="2"/>
      </rPr>
      <t>2</t>
    </r>
  </si>
  <si>
    <t>Others</t>
  </si>
  <si>
    <t xml:space="preserve">PFPMIE  </t>
  </si>
  <si>
    <r>
      <t>CF</t>
    </r>
    <r>
      <rPr>
        <vertAlign val="subscript"/>
        <sz val="8"/>
        <rFont val="Arial"/>
        <family val="2"/>
      </rPr>
      <t>3</t>
    </r>
    <r>
      <rPr>
        <sz val="8"/>
        <rFont val="Arial"/>
        <family val="2"/>
      </rPr>
      <t>OCF(CF</t>
    </r>
    <r>
      <rPr>
        <vertAlign val="subscript"/>
        <sz val="8"/>
        <rFont val="Arial"/>
        <family val="2"/>
      </rPr>
      <t>3</t>
    </r>
    <r>
      <rPr>
        <sz val="8"/>
        <rFont val="Arial"/>
        <family val="2"/>
      </rPr>
      <t>)CF</t>
    </r>
    <r>
      <rPr>
        <vertAlign val="subscript"/>
        <sz val="8"/>
        <rFont val="Arial"/>
        <family val="2"/>
      </rPr>
      <t>2</t>
    </r>
    <r>
      <rPr>
        <sz val="8"/>
        <rFont val="Arial"/>
        <family val="2"/>
      </rPr>
      <t>OCF</t>
    </r>
    <r>
      <rPr>
        <vertAlign val="subscript"/>
        <sz val="8"/>
        <rFont val="Arial"/>
        <family val="2"/>
      </rPr>
      <t>2</t>
    </r>
    <r>
      <rPr>
        <sz val="8"/>
        <rFont val="Arial"/>
        <family val="2"/>
      </rPr>
      <t>OCF</t>
    </r>
    <r>
      <rPr>
        <vertAlign val="subscript"/>
        <sz val="8"/>
        <rFont val="Arial"/>
        <family val="2"/>
      </rPr>
      <t>3</t>
    </r>
  </si>
  <si>
    <t xml:space="preserve">Dimethylether  </t>
  </si>
  <si>
    <r>
      <t>CH</t>
    </r>
    <r>
      <rPr>
        <vertAlign val="subscript"/>
        <sz val="8"/>
        <rFont val="Arial"/>
        <family val="2"/>
      </rPr>
      <t>3</t>
    </r>
    <r>
      <rPr>
        <sz val="8"/>
        <rFont val="Arial"/>
        <family val="2"/>
      </rPr>
      <t>OCH</t>
    </r>
    <r>
      <rPr>
        <vertAlign val="subscript"/>
        <sz val="8"/>
        <rFont val="Arial"/>
        <family val="2"/>
      </rPr>
      <t>3</t>
    </r>
  </si>
  <si>
    <t xml:space="preserve">Methylene chloride  </t>
  </si>
  <si>
    <r>
      <t>CH</t>
    </r>
    <r>
      <rPr>
        <vertAlign val="subscript"/>
        <sz val="8"/>
        <rFont val="Arial"/>
        <family val="2"/>
      </rPr>
      <t>2</t>
    </r>
    <r>
      <rPr>
        <sz val="8"/>
        <rFont val="Arial"/>
        <family val="2"/>
      </rPr>
      <t>Cl</t>
    </r>
    <r>
      <rPr>
        <vertAlign val="subscript"/>
        <sz val="8"/>
        <rFont val="Arial"/>
        <family val="2"/>
      </rPr>
      <t>2</t>
    </r>
  </si>
  <si>
    <t xml:space="preserve">Methyl chloride  </t>
  </si>
  <si>
    <r>
      <t>CH</t>
    </r>
    <r>
      <rPr>
        <vertAlign val="subscript"/>
        <sz val="8"/>
        <rFont val="Arial"/>
        <family val="2"/>
      </rPr>
      <t>3</t>
    </r>
    <r>
      <rPr>
        <sz val="8"/>
        <rFont val="Arial"/>
        <family val="2"/>
      </rPr>
      <t>Cl</t>
    </r>
  </si>
  <si>
    <t>R290 = Propane</t>
  </si>
  <si>
    <r>
      <t>C</t>
    </r>
    <r>
      <rPr>
        <vertAlign val="subscript"/>
        <sz val="8"/>
        <rFont val="Arial"/>
        <family val="2"/>
      </rPr>
      <t>3</t>
    </r>
    <r>
      <rPr>
        <sz val="8"/>
        <rFont val="Arial"/>
        <family val="2"/>
      </rPr>
      <t>H</t>
    </r>
    <r>
      <rPr>
        <vertAlign val="subscript"/>
        <sz val="8"/>
        <rFont val="Arial"/>
        <family val="2"/>
      </rPr>
      <t>8</t>
    </r>
  </si>
  <si>
    <t>R600A = Isobutane</t>
  </si>
  <si>
    <r>
      <t>C</t>
    </r>
    <r>
      <rPr>
        <vertAlign val="subscript"/>
        <sz val="8"/>
        <rFont val="Arial"/>
        <family val="2"/>
      </rPr>
      <t>4</t>
    </r>
    <r>
      <rPr>
        <sz val="8"/>
        <rFont val="Arial"/>
        <family val="2"/>
      </rPr>
      <t>H</t>
    </r>
    <r>
      <rPr>
        <vertAlign val="subscript"/>
        <sz val="8"/>
        <rFont val="Arial"/>
        <family val="2"/>
      </rPr>
      <t>10</t>
    </r>
  </si>
  <si>
    <t>R406A</t>
  </si>
  <si>
    <t>55:41:4 blend of HCFC-22, HCFC-142b and R600A</t>
  </si>
  <si>
    <t>R409A</t>
  </si>
  <si>
    <t>60:25:15 blend of HCFC-22, HCFC-124 and HCFC-142b</t>
  </si>
  <si>
    <t>R502</t>
  </si>
  <si>
    <t>48.8:51.2 blend of HCFC-22 and CFC-115</t>
  </si>
  <si>
    <t>Last updated:</t>
  </si>
  <si>
    <t>How to use this Annex</t>
  </si>
  <si>
    <t>This Annex can be used to help you convert between common units of energy, volume, mass or distance.</t>
  </si>
  <si>
    <r>
      <rPr>
        <b/>
        <sz val="10"/>
        <rFont val="Arial"/>
        <family val="2"/>
      </rPr>
      <t>Table 12a</t>
    </r>
    <r>
      <rPr>
        <sz val="10"/>
        <rFont val="Arial"/>
        <family val="2"/>
      </rPr>
      <t xml:space="preserve"> provides conversions from common units of </t>
    </r>
    <r>
      <rPr>
        <b/>
        <sz val="10"/>
        <rFont val="Arial"/>
        <family val="2"/>
      </rPr>
      <t>Energy</t>
    </r>
  </si>
  <si>
    <r>
      <rPr>
        <b/>
        <sz val="10"/>
        <rFont val="Arial"/>
        <family val="2"/>
      </rPr>
      <t>Table 12b</t>
    </r>
    <r>
      <rPr>
        <sz val="10"/>
        <rFont val="Arial"/>
        <family val="2"/>
      </rPr>
      <t xml:space="preserve"> provides conversions from common units of </t>
    </r>
    <r>
      <rPr>
        <b/>
        <sz val="10"/>
        <rFont val="Arial"/>
        <family val="2"/>
      </rPr>
      <t>Volume</t>
    </r>
  </si>
  <si>
    <r>
      <rPr>
        <b/>
        <sz val="10"/>
        <rFont val="Arial"/>
        <family val="2"/>
      </rPr>
      <t>Table 12c</t>
    </r>
    <r>
      <rPr>
        <sz val="10"/>
        <rFont val="Arial"/>
        <family val="2"/>
      </rPr>
      <t xml:space="preserve"> provides conversions from common units of </t>
    </r>
    <r>
      <rPr>
        <b/>
        <sz val="10"/>
        <rFont val="Arial"/>
        <family val="2"/>
      </rPr>
      <t>Weight/Mass</t>
    </r>
  </si>
  <si>
    <r>
      <rPr>
        <b/>
        <sz val="10"/>
        <rFont val="Arial"/>
        <family val="2"/>
      </rPr>
      <t>Table 12d</t>
    </r>
    <r>
      <rPr>
        <sz val="10"/>
        <rFont val="Arial"/>
        <family val="2"/>
      </rPr>
      <t xml:space="preserve"> provides conversions from common units of </t>
    </r>
    <r>
      <rPr>
        <b/>
        <sz val="10"/>
        <rFont val="Arial"/>
        <family val="2"/>
      </rPr>
      <t>Length/Distance</t>
    </r>
  </si>
  <si>
    <r>
      <rPr>
        <sz val="10"/>
        <rFont val="Arial"/>
        <family val="2"/>
      </rPr>
      <t xml:space="preserve">If this annex does not have the conversion factor you are looking for, a more complete list of conversions is available here: </t>
    </r>
    <r>
      <rPr>
        <u/>
        <sz val="10"/>
        <color indexed="12"/>
        <rFont val="Arial"/>
        <family val="2"/>
      </rPr>
      <t>http://www.onlineconversion.com/</t>
    </r>
  </si>
  <si>
    <t>Common unit abbreviations:</t>
  </si>
  <si>
    <r>
      <t>kilo (k) = 1,000 or 10</t>
    </r>
    <r>
      <rPr>
        <vertAlign val="superscript"/>
        <sz val="10"/>
        <rFont val="Arial"/>
        <family val="2"/>
      </rPr>
      <t>3</t>
    </r>
  </si>
  <si>
    <r>
      <t>mega (M) = 1,000,000 or 10</t>
    </r>
    <r>
      <rPr>
        <vertAlign val="superscript"/>
        <sz val="10"/>
        <rFont val="Arial"/>
        <family val="2"/>
      </rPr>
      <t>6</t>
    </r>
  </si>
  <si>
    <r>
      <t>giga (G) = 1,000,000,000 or 10</t>
    </r>
    <r>
      <rPr>
        <vertAlign val="superscript"/>
        <sz val="10"/>
        <rFont val="Arial"/>
        <family val="2"/>
      </rPr>
      <t>9</t>
    </r>
  </si>
  <si>
    <r>
      <t>tera (T) = 1,000,000,000,000 or 10</t>
    </r>
    <r>
      <rPr>
        <vertAlign val="superscript"/>
        <sz val="10"/>
        <rFont val="Arial"/>
        <family val="2"/>
      </rPr>
      <t>12</t>
    </r>
  </si>
  <si>
    <r>
      <t>peta (P) = 1,000,000,000,000,000 or 10</t>
    </r>
    <r>
      <rPr>
        <vertAlign val="superscript"/>
        <sz val="10"/>
        <rFont val="Arial"/>
        <family val="2"/>
      </rPr>
      <t>15</t>
    </r>
  </si>
  <si>
    <t>Table 12a</t>
  </si>
  <si>
    <t>Energy</t>
  </si>
  <si>
    <t>From/To - multiply by</t>
  </si>
  <si>
    <t>therm</t>
  </si>
  <si>
    <t>toe</t>
  </si>
  <si>
    <t>kcal</t>
  </si>
  <si>
    <t>Gigajoule, GJ</t>
  </si>
  <si>
    <t>Kilowatthour, kWh</t>
  </si>
  <si>
    <t>Therm</t>
  </si>
  <si>
    <t>Tonne oil equivalent, toe</t>
  </si>
  <si>
    <t>Kilocalorie, kcal</t>
  </si>
  <si>
    <t>Table 12b</t>
  </si>
  <si>
    <t>Volume</t>
  </si>
  <si>
    <t>L</t>
  </si>
  <si>
    <r>
      <t>m</t>
    </r>
    <r>
      <rPr>
        <b/>
        <vertAlign val="superscript"/>
        <sz val="10"/>
        <color indexed="9"/>
        <rFont val="Arial"/>
        <family val="2"/>
      </rPr>
      <t>3</t>
    </r>
  </si>
  <si>
    <t>cu ft</t>
  </si>
  <si>
    <t>Imp. gallon</t>
  </si>
  <si>
    <t>US gallon</t>
  </si>
  <si>
    <t>Bbl (US,P)</t>
  </si>
  <si>
    <t>Litres, L</t>
  </si>
  <si>
    <r>
      <t>Cubic metres, m</t>
    </r>
    <r>
      <rPr>
        <vertAlign val="superscript"/>
        <sz val="10"/>
        <rFont val="Arial"/>
        <family val="2"/>
      </rPr>
      <t>3</t>
    </r>
  </si>
  <si>
    <t>Cubic feet, cu ft</t>
  </si>
  <si>
    <t>Imperial gallon</t>
  </si>
  <si>
    <t>Barrel (US, petroleum), bbl</t>
  </si>
  <si>
    <t>Table 12c</t>
  </si>
  <si>
    <t>Weight/Mass</t>
  </si>
  <si>
    <t>tonne</t>
  </si>
  <si>
    <t>ton (UK)</t>
  </si>
  <si>
    <t>ton (US)</t>
  </si>
  <si>
    <t>lb</t>
  </si>
  <si>
    <t>Kilogram, kg</t>
  </si>
  <si>
    <t>tonne, t (metric ton)</t>
  </si>
  <si>
    <t>ton (UK, long ton)</t>
  </si>
  <si>
    <t>ton (US, short ton)</t>
  </si>
  <si>
    <t>Pound, lb</t>
  </si>
  <si>
    <t>Table 12d</t>
  </si>
  <si>
    <t>Length/Distance</t>
  </si>
  <si>
    <t>m</t>
  </si>
  <si>
    <t>ft</t>
  </si>
  <si>
    <t>mi</t>
  </si>
  <si>
    <t>km</t>
  </si>
  <si>
    <t>nmi</t>
  </si>
  <si>
    <t>Metre, m</t>
  </si>
  <si>
    <t>Feet, ft</t>
  </si>
  <si>
    <t>Miles, mi</t>
  </si>
  <si>
    <t>Kilometres, km</t>
  </si>
  <si>
    <t>Nautical miles, nmi or NM</t>
  </si>
  <si>
    <t>in</t>
  </si>
  <si>
    <t>cm</t>
  </si>
  <si>
    <t>yd</t>
  </si>
  <si>
    <t>Inch, in</t>
  </si>
  <si>
    <t>Centimetres, cm</t>
  </si>
  <si>
    <t>Yard, yd</t>
  </si>
  <si>
    <r>
      <t>Unlike</t>
    </r>
    <r>
      <rPr>
        <sz val="10"/>
        <rFont val="Arial"/>
        <family val="2"/>
      </rPr>
      <t xml:space="preserve"> most of the emission factors provided in the annexes, the emission factors presented in </t>
    </r>
    <r>
      <rPr>
        <i/>
        <sz val="10"/>
        <rFont val="Arial"/>
        <family val="2"/>
      </rPr>
      <t>this</t>
    </r>
    <r>
      <rPr>
        <sz val="10"/>
        <rFont val="Arial"/>
        <family val="2"/>
      </rPr>
      <t xml:space="preserve"> Annex only cover indirect emissions from the supply chain and include CO</t>
    </r>
    <r>
      <rPr>
        <vertAlign val="subscript"/>
        <sz val="10"/>
        <rFont val="Arial"/>
        <family val="2"/>
      </rPr>
      <t>2</t>
    </r>
    <r>
      <rPr>
        <sz val="10"/>
        <rFont val="Arial"/>
        <family val="2"/>
      </rPr>
      <t>, CH</t>
    </r>
    <r>
      <rPr>
        <vertAlign val="subscript"/>
        <sz val="10"/>
        <rFont val="Arial"/>
        <family val="2"/>
      </rPr>
      <t>4,</t>
    </r>
    <r>
      <rPr>
        <sz val="10"/>
        <rFont val="Arial"/>
        <family val="2"/>
      </rPr>
      <t xml:space="preserve"> N</t>
    </r>
    <r>
      <rPr>
        <vertAlign val="subscript"/>
        <sz val="10"/>
        <rFont val="Arial"/>
        <family val="2"/>
      </rPr>
      <t>2</t>
    </r>
    <r>
      <rPr>
        <sz val="10"/>
        <rFont val="Arial"/>
        <family val="2"/>
      </rPr>
      <t xml:space="preserve">O and F-gas emissions.  Indirect emissions are those which are generated by other organisations as part of the process of providing goods and services to your company.  </t>
    </r>
  </si>
  <si>
    <r>
      <t xml:space="preserve">This annex is intended to be used primarily as a high-level diagnostic tool/for initial scoping/estimating.  </t>
    </r>
    <r>
      <rPr>
        <b/>
        <sz val="10"/>
        <rFont val="Arial"/>
        <family val="2"/>
      </rPr>
      <t>If you have more specific information about the supply chain emissions of any particular product then that source should be used instead.</t>
    </r>
    <r>
      <rPr>
        <sz val="10"/>
        <rFont val="Arial"/>
        <family val="2"/>
      </rPr>
      <t xml:space="preserve">  Such adjustments should be clearly documented.</t>
    </r>
  </si>
  <si>
    <r>
      <t xml:space="preserve">This annex also includes a number of activities that are also covered in other annexes, such as coal, fuels refined from crude oil, mains electricity, gas, water and for various modes of transport. </t>
    </r>
    <r>
      <rPr>
        <b/>
        <sz val="10"/>
        <rFont val="Arial"/>
        <family val="2"/>
      </rPr>
      <t xml:space="preserve">If you have more specific/detailed information for such activities that will enable you to make calculations of emissions using the emission factors in the other annexes these should be used in preference to the factors in this annex as they will be more specific. </t>
    </r>
    <r>
      <rPr>
        <sz val="10"/>
        <rFont val="Arial"/>
        <family val="2"/>
      </rPr>
      <t>However, the information in this annex may still be useful for a rough initial calculation of the relative importance of these activities in the first instance.</t>
    </r>
  </si>
  <si>
    <t>The table below provides emission factors for spending on different groups of products:</t>
  </si>
  <si>
    <t>1) Identify the amount spent on different product groups (in actual prices in £s, including VAT).</t>
  </si>
  <si>
    <r>
      <t>2) Multiply the amount of spending by the conversion factor to get total emissions in kilograms of carbon dioxide equivalent (kg CO</t>
    </r>
    <r>
      <rPr>
        <vertAlign val="subscript"/>
        <sz val="10"/>
        <rFont val="Arial"/>
        <family val="2"/>
      </rPr>
      <t>2</t>
    </r>
    <r>
      <rPr>
        <sz val="10"/>
        <rFont val="Arial"/>
        <family val="2"/>
      </rPr>
      <t xml:space="preserve">e). The excel spreadsheet does this automatically following your entry of the amount of spending into the appropriate box. </t>
    </r>
  </si>
  <si>
    <r>
      <t>For example, if £1000 is spent on ‘ceramic goods’ (in purchasers' prices), then the table calculates that 709 kilograms of CO</t>
    </r>
    <r>
      <rPr>
        <vertAlign val="subscript"/>
        <sz val="10"/>
        <rFont val="Arial"/>
        <family val="2"/>
      </rPr>
      <t>2</t>
    </r>
    <r>
      <rPr>
        <sz val="10"/>
        <rFont val="Arial"/>
        <family val="2"/>
      </rPr>
      <t>e were released during all stages of the production of these goods, including raw material extraction, processing, manufacturing, transportation, packaging etc.  As a result, these emissions factors are different from the emission factors shown in the other annexes.  They are similar to life-cycle emissions, but do not take into account direct emissions  by your company, which may be included in life-cycle estimates (e.g. from the actual combustion of fuel by your company).</t>
    </r>
  </si>
  <si>
    <r>
      <rPr>
        <sz val="10"/>
        <rFont val="Arial"/>
        <family val="2"/>
      </rPr>
      <t xml:space="preserve">Please use this annex in conjunction with Annex F in the Defra Guidance on measuring emissions from your supply chain which is available at </t>
    </r>
    <r>
      <rPr>
        <u/>
        <sz val="10"/>
        <color indexed="12"/>
        <rFont val="Arial"/>
        <family val="2"/>
      </rPr>
      <t>http://www.defra.gov.uk/environment/business/reporting/index.htm</t>
    </r>
  </si>
  <si>
    <t>Key information:</t>
  </si>
  <si>
    <t>This Annex can be used to produce indicative estimates of the Greenhouse Gas emissions relating to the production of goods and services purchased by your company.  The estimates can only be indicative as they represent the average emissions relating to each product group, and the emission factors relating to specific products within the group may be quite different.  If you have specific information about the supply chain emissions of any particular product then this source should be used instead.</t>
  </si>
  <si>
    <t>The information derived from this table can be combined with data on direct emissions, i.e. those relating to actual fuel use (e.g. litres of fuel used, or derived from mileage estimates).  The footnotes to the table give more information about what the factors shown in the table mean in terms of purchases of energy products and transport services.</t>
  </si>
  <si>
    <t>Are these factors directly comparable to those in the other annexes?</t>
  </si>
  <si>
    <r>
      <t>No. The emission factors provided in this annex are for the supply chain emissions of GHG resulting from the production and transportation of broad categories of goods and services.  They express Scope 2 and 3 emissions as defined by the GHG Protocol.  Because they encompass all the supply chain impacts (i.e. indirect emissions), these emission factors are</t>
    </r>
    <r>
      <rPr>
        <b/>
        <sz val="10"/>
        <rFont val="Arial"/>
        <family val="2"/>
      </rPr>
      <t xml:space="preserve"> not directly comparable</t>
    </r>
    <r>
      <rPr>
        <sz val="10"/>
        <rFont val="Arial"/>
        <family val="2"/>
      </rPr>
      <t xml:space="preserve"> with those from other annexes, which generally </t>
    </r>
    <r>
      <rPr>
        <b/>
        <sz val="10"/>
        <rFont val="Arial"/>
        <family val="2"/>
      </rPr>
      <t>only</t>
    </r>
    <r>
      <rPr>
        <sz val="10"/>
        <rFont val="Arial"/>
        <family val="2"/>
      </rPr>
      <t xml:space="preserve"> include emissions from the point of use (generation for electricity; life cycle in the case of Annex 9).</t>
    </r>
  </si>
  <si>
    <t>Which products are included in which categories?</t>
  </si>
  <si>
    <r>
      <rPr>
        <sz val="10"/>
        <rFont val="Arial"/>
        <family val="2"/>
      </rPr>
      <t>Some guidance is available in the comment boxes in the Table.  The categories are based upon the Standard Industrial Classification</t>
    </r>
    <r>
      <rPr>
        <sz val="10"/>
        <color indexed="12"/>
        <rFont val="Arial"/>
        <family val="2"/>
      </rPr>
      <t xml:space="preserve"> (SIC)</t>
    </r>
    <r>
      <rPr>
        <sz val="10"/>
        <rFont val="Arial"/>
        <family val="2"/>
      </rPr>
      <t>: further information on the SIC 2003 is available here:</t>
    </r>
    <r>
      <rPr>
        <u/>
        <sz val="10"/>
        <color indexed="12"/>
        <rFont val="Arial"/>
        <family val="2"/>
      </rPr>
      <t xml:space="preserve">
http://www.statistics.gov.uk/statbase/Product.asp?vlnk=14012</t>
    </r>
  </si>
  <si>
    <t>What are the factors for each of the individual Greenhouse Gases?</t>
  </si>
  <si>
    <t>The factors for each of the six gases included in the overall calculation are included for information in Table 13.</t>
  </si>
  <si>
    <t>Do the factors take into account emissions relating to imported goods, and those relating to the formation of capital assets used in making the products?</t>
  </si>
  <si>
    <t>The factors are for products supplied for consumption in the UK but do take account of the emissions relating to the production of products imported for intermediate consumption (i.e. those products that are used by UK industries in the process of supplying products for consumption in the UK.  The estimates do not incorporate any allowance for emissions relating to the formation of capital assets, whether in the UK or overseas.</t>
  </si>
  <si>
    <r>
      <t xml:space="preserve">Annex 13 Scopes &amp; Boundaries:
</t>
    </r>
    <r>
      <rPr>
        <sz val="10"/>
        <rFont val="Arial"/>
        <family val="2"/>
      </rPr>
      <t xml:space="preserve">Scope 3. For boundaries, see </t>
    </r>
    <r>
      <rPr>
        <b/>
        <sz val="10"/>
        <rFont val="Arial"/>
        <family val="2"/>
      </rPr>
      <t>How were these factors calculated?</t>
    </r>
  </si>
  <si>
    <t>How were these factors calculated?</t>
  </si>
  <si>
    <t xml:space="preserve">The factors are based on a model of the economy, known as the input-output model, which describes in monetary terms how the goods and services produced by different sectors of the economy are used by other sectors to produce their own output.  These monetary accounts are linked to information about the greenhouse gas emissions of different sectors of the economy.  For the factors in this Annex an input-output model of the world economy was used with two distinct regions - the UK and the Rest of World. </t>
  </si>
  <si>
    <t>By using the input-output model, the industrial emissions are then attributed to final products bought by consumers.  The result is an estimate of the total upstream emissions associated with the supply of a particular product group.</t>
  </si>
  <si>
    <t>The input-output tables used for this exercise refer to the year 2006. The supply chain emission factors are expressed on a purchasers' price basis (i.e. the actual sales price including taxes  on products and distribution margins).  It may be advisable to take subsequent price changes into account when using the factors shown below.  It should also be noted that emissions in more recent years may have changed because of subsequent changes in the structure and emissions intensity of the supply chain since 2006.</t>
  </si>
  <si>
    <r>
      <t xml:space="preserve">For more detail on the methodology used, contact the Centre for Sustainability Accounting: </t>
    </r>
    <r>
      <rPr>
        <u/>
        <sz val="10"/>
        <color indexed="12"/>
        <rFont val="Arial"/>
        <family val="2"/>
      </rPr>
      <t>info@censa.org.uk</t>
    </r>
  </si>
  <si>
    <t>http://www.censa.org.uk</t>
  </si>
  <si>
    <t>Scope 3</t>
  </si>
  <si>
    <t>Table 13</t>
  </si>
  <si>
    <r>
      <t>Supply chain emission factors for spending on products: kgCO</t>
    </r>
    <r>
      <rPr>
        <b/>
        <vertAlign val="subscript"/>
        <sz val="10"/>
        <color indexed="9"/>
        <rFont val="Arial"/>
        <family val="2"/>
      </rPr>
      <t>2</t>
    </r>
    <r>
      <rPr>
        <b/>
        <sz val="10"/>
        <color indexed="9"/>
        <rFont val="Arial"/>
        <family val="2"/>
      </rPr>
      <t>e per £</t>
    </r>
  </si>
  <si>
    <t>Total GHG</t>
  </si>
  <si>
    <t>SIC code (SIC 2003)</t>
  </si>
  <si>
    <t>Product category</t>
  </si>
  <si>
    <r>
      <t>Carbon Dioxide (CO</t>
    </r>
    <r>
      <rPr>
        <vertAlign val="subscript"/>
        <sz val="9"/>
        <rFont val="Arial"/>
        <family val="2"/>
      </rPr>
      <t>2</t>
    </r>
    <r>
      <rPr>
        <sz val="9"/>
        <rFont val="Arial"/>
        <family val="2"/>
      </rPr>
      <t>)</t>
    </r>
  </si>
  <si>
    <r>
      <t>Methane (CH</t>
    </r>
    <r>
      <rPr>
        <vertAlign val="subscript"/>
        <sz val="9"/>
        <rFont val="Arial"/>
        <family val="2"/>
      </rPr>
      <t>4</t>
    </r>
    <r>
      <rPr>
        <sz val="9"/>
        <rFont val="Arial"/>
        <family val="2"/>
      </rPr>
      <t>)</t>
    </r>
  </si>
  <si>
    <r>
      <t>Nitrous Oxide (N</t>
    </r>
    <r>
      <rPr>
        <vertAlign val="subscript"/>
        <sz val="9"/>
        <rFont val="Arial"/>
        <family val="2"/>
      </rPr>
      <t>2</t>
    </r>
    <r>
      <rPr>
        <sz val="9"/>
        <rFont val="Arial"/>
        <family val="2"/>
      </rPr>
      <t>O)</t>
    </r>
  </si>
  <si>
    <t>HFCs</t>
  </si>
  <si>
    <t>PFCs</t>
  </si>
  <si>
    <r>
      <t>SF</t>
    </r>
    <r>
      <rPr>
        <vertAlign val="subscript"/>
        <sz val="9"/>
        <rFont val="Arial"/>
        <family val="2"/>
      </rPr>
      <t>6</t>
    </r>
  </si>
  <si>
    <t>Amount spent by product category (£)</t>
  </si>
  <si>
    <r>
      <t>Total kg CO</t>
    </r>
    <r>
      <rPr>
        <vertAlign val="subscript"/>
        <sz val="10"/>
        <rFont val="Arial"/>
        <family val="2"/>
      </rPr>
      <t>2</t>
    </r>
    <r>
      <rPr>
        <sz val="10"/>
        <rFont val="Arial"/>
        <family val="2"/>
      </rPr>
      <t xml:space="preserve">e </t>
    </r>
    <r>
      <rPr>
        <sz val="10"/>
        <rFont val="Arial"/>
        <family val="2"/>
      </rPr>
      <t>per £</t>
    </r>
  </si>
  <si>
    <t>01</t>
  </si>
  <si>
    <r>
      <t>Agriculture products</t>
    </r>
    <r>
      <rPr>
        <vertAlign val="superscript"/>
        <sz val="8"/>
        <rFont val="Arial"/>
        <family val="2"/>
      </rPr>
      <t>2</t>
    </r>
  </si>
  <si>
    <t>02</t>
  </si>
  <si>
    <t>Forestry products</t>
  </si>
  <si>
    <t>05</t>
  </si>
  <si>
    <r>
      <t>Fish products</t>
    </r>
    <r>
      <rPr>
        <vertAlign val="superscript"/>
        <sz val="8"/>
        <rFont val="Arial"/>
        <family val="2"/>
      </rPr>
      <t>2</t>
    </r>
  </si>
  <si>
    <r>
      <t>Coal, lignite, peat</t>
    </r>
    <r>
      <rPr>
        <vertAlign val="superscript"/>
        <sz val="8"/>
        <rFont val="Arial"/>
        <family val="2"/>
      </rPr>
      <t>3</t>
    </r>
  </si>
  <si>
    <r>
      <t>Crude petroleum, natural gas</t>
    </r>
    <r>
      <rPr>
        <vertAlign val="superscript"/>
        <sz val="8"/>
        <rFont val="Arial"/>
        <family val="2"/>
      </rPr>
      <t>3</t>
    </r>
  </si>
  <si>
    <t xml:space="preserve">Metal ores </t>
  </si>
  <si>
    <t>Stone, sand and clay, other minerals</t>
  </si>
  <si>
    <r>
      <t>Food and drink products</t>
    </r>
    <r>
      <rPr>
        <vertAlign val="superscript"/>
        <sz val="8"/>
        <rFont val="Arial"/>
        <family val="2"/>
      </rPr>
      <t>2</t>
    </r>
  </si>
  <si>
    <t>Tobacco products</t>
  </si>
  <si>
    <t>Textiles</t>
  </si>
  <si>
    <t>Wearing apparel</t>
  </si>
  <si>
    <t>Leather products, footwear</t>
  </si>
  <si>
    <t>Wood and wood products</t>
  </si>
  <si>
    <t>Pulp and paper, paper products</t>
  </si>
  <si>
    <t>Printing matter and related services</t>
  </si>
  <si>
    <r>
      <t>Refined petroleum, coke and other fuels</t>
    </r>
    <r>
      <rPr>
        <vertAlign val="superscript"/>
        <sz val="8"/>
        <rFont val="Arial"/>
        <family val="2"/>
      </rPr>
      <t>4</t>
    </r>
  </si>
  <si>
    <t>24.11,24.12</t>
  </si>
  <si>
    <t>Industrial gases and dyes</t>
  </si>
  <si>
    <t>Inorganic chemicals</t>
  </si>
  <si>
    <t>Organic chemicals</t>
  </si>
  <si>
    <t>Fertilisers</t>
  </si>
  <si>
    <t>24.16,24.17</t>
  </si>
  <si>
    <t>Plastics &amp; synthetic resins etc</t>
  </si>
  <si>
    <t>Pesticides</t>
  </si>
  <si>
    <t>Paints, varnishes, printing ink etc</t>
  </si>
  <si>
    <t>Pharmaceuticals</t>
  </si>
  <si>
    <t>Soap and toilet preparations</t>
  </si>
  <si>
    <t>Other chemical products</t>
  </si>
  <si>
    <t>Man-made fibres</t>
  </si>
  <si>
    <t>Rubber products</t>
  </si>
  <si>
    <t>Plastic products</t>
  </si>
  <si>
    <t>Glass and glass products</t>
  </si>
  <si>
    <t>26.2,26.3</t>
  </si>
  <si>
    <t>Ceramic goods</t>
  </si>
  <si>
    <t>Structural clay products</t>
  </si>
  <si>
    <t>Cement, lime and plaster</t>
  </si>
  <si>
    <t>26.6-26.8</t>
  </si>
  <si>
    <t>Articles of concrete, stone etc</t>
  </si>
  <si>
    <t>27.1-27.3</t>
  </si>
  <si>
    <t>Iron and steel</t>
  </si>
  <si>
    <t>Non-ferrous metals</t>
  </si>
  <si>
    <t>Metal castings</t>
  </si>
  <si>
    <t>Metal products</t>
  </si>
  <si>
    <t>Machinery and equipment</t>
  </si>
  <si>
    <t>Office machinery and computers</t>
  </si>
  <si>
    <t>Electrical machinery</t>
  </si>
  <si>
    <t>Radio, television and communications</t>
  </si>
  <si>
    <t>Medical and precision instruments</t>
  </si>
  <si>
    <t xml:space="preserve">Motor vehicles </t>
  </si>
  <si>
    <t>Other transport equipment</t>
  </si>
  <si>
    <t>36, 37</t>
  </si>
  <si>
    <t>Furniture, other manufactured goods, recycling services</t>
  </si>
  <si>
    <r>
      <t>Mains electricity</t>
    </r>
    <r>
      <rPr>
        <vertAlign val="superscript"/>
        <sz val="8"/>
        <rFont val="Arial"/>
        <family val="2"/>
      </rPr>
      <t>4</t>
    </r>
  </si>
  <si>
    <t>40.2,40.3</t>
  </si>
  <si>
    <r>
      <t>Mains gas</t>
    </r>
    <r>
      <rPr>
        <vertAlign val="superscript"/>
        <sz val="8"/>
        <rFont val="Arial"/>
        <family val="2"/>
      </rPr>
      <t>4</t>
    </r>
  </si>
  <si>
    <t xml:space="preserve">Mains water </t>
  </si>
  <si>
    <r>
      <t>Construction</t>
    </r>
    <r>
      <rPr>
        <vertAlign val="superscript"/>
        <sz val="8"/>
        <rFont val="Arial"/>
        <family val="2"/>
      </rPr>
      <t>5</t>
    </r>
  </si>
  <si>
    <t>Motor vehicle distribution and repair, automotive fuel retail</t>
  </si>
  <si>
    <t>Wholesale distribution</t>
  </si>
  <si>
    <t>Retail distribution</t>
  </si>
  <si>
    <t>Hotels, catering, pubs etc</t>
  </si>
  <si>
    <r>
      <t>Railway transport</t>
    </r>
    <r>
      <rPr>
        <vertAlign val="superscript"/>
        <sz val="8"/>
        <rFont val="Arial"/>
        <family val="2"/>
      </rPr>
      <t>6</t>
    </r>
  </si>
  <si>
    <r>
      <t>Road transport</t>
    </r>
    <r>
      <rPr>
        <vertAlign val="superscript"/>
        <sz val="8"/>
        <rFont val="Arial"/>
        <family val="2"/>
      </rPr>
      <t>6</t>
    </r>
  </si>
  <si>
    <r>
      <t>Water transport</t>
    </r>
    <r>
      <rPr>
        <vertAlign val="superscript"/>
        <sz val="8"/>
        <rFont val="Arial"/>
        <family val="2"/>
      </rPr>
      <t>6</t>
    </r>
  </si>
  <si>
    <r>
      <t>Air transport</t>
    </r>
    <r>
      <rPr>
        <vertAlign val="superscript"/>
        <sz val="8"/>
        <rFont val="Arial"/>
        <family val="2"/>
      </rPr>
      <t>6</t>
    </r>
  </si>
  <si>
    <t>Ancillary transport services</t>
  </si>
  <si>
    <t>Post and telecommunications</t>
  </si>
  <si>
    <t>Banking and finance</t>
  </si>
  <si>
    <t>Insurance and pension funds</t>
  </si>
  <si>
    <t>Auxiliary financial services</t>
  </si>
  <si>
    <t>Real estate activities</t>
  </si>
  <si>
    <t>Renting of machinery etc</t>
  </si>
  <si>
    <t>Computer services</t>
  </si>
  <si>
    <t>Research and development</t>
  </si>
  <si>
    <t>Legal, consultancy, other business activities</t>
  </si>
  <si>
    <t>Public administration and defence</t>
  </si>
  <si>
    <t>Education</t>
  </si>
  <si>
    <t>Health and social work</t>
  </si>
  <si>
    <t>Sewage and refuse services</t>
  </si>
  <si>
    <t>Services from membership organisations</t>
  </si>
  <si>
    <t>Recreational services</t>
  </si>
  <si>
    <t>Other service activities</t>
  </si>
  <si>
    <t>TOTAL</t>
  </si>
  <si>
    <t>Source</t>
  </si>
  <si>
    <r>
      <t>Calculated by Centre for Sustainability Accounting (CenSA), York, UK.
The Centre for Sustainability Accounting (</t>
    </r>
    <r>
      <rPr>
        <u/>
        <sz val="10"/>
        <rFont val="Arial"/>
        <family val="2"/>
      </rPr>
      <t>info@censa.org.uk</t>
    </r>
    <r>
      <rPr>
        <sz val="10"/>
        <rFont val="Arial"/>
        <family val="2"/>
      </rPr>
      <t xml:space="preserve">) is able to supply more detailed and up-to-date factors to complement those presented here, see also:
</t>
    </r>
  </si>
  <si>
    <t>Notes</t>
  </si>
  <si>
    <r>
      <rPr>
        <sz val="10"/>
        <rFont val="Arial"/>
        <family val="2"/>
      </rPr>
      <t>For detailed information on the Standard Industrial Classification system please see the UK Standard Industrial Classification of Economic Activities 2003:</t>
    </r>
    <r>
      <rPr>
        <u/>
        <sz val="10"/>
        <color indexed="12"/>
        <rFont val="Arial"/>
        <family val="2"/>
      </rPr>
      <t xml:space="preserve">
http://www.ons.gov.uk/about-statistics/classifications/archived/uk-standard-industrial-classification-of-ea-2003.pdf</t>
    </r>
  </si>
  <si>
    <t>Agricultural and fish products are those bought direct from farmers or the fisheries industry.  Where products have been prepared for consumption they should be treated as products from the food and drink manufacturing industry (SIC code 15 in the above table).</t>
  </si>
  <si>
    <t>These emissions relate to the activities of the industries engaged in the extraction of energy carriers.  Where fuels are processed before use then the factors identified by footnote 3 should be used.</t>
  </si>
  <si>
    <t>These emission factors relate to the supply and distribution of energy products for general consumption, and take into account emissions relating to the extraction and processing of the energy carriers (e.g. oil refineries).  Except in the case of electricity, they do not include emissions relating to your company's use of the energy (for which see primarily Annex 1).  In the case of electricity, these factors include the emissions relating to the production of the fuels used to generate the electricity, whereas those shown in Annex 3 of the 2009 Defra / DECC GHG Conversion Factors are limited just to emissions from the use of those fuels by the electricity producers.</t>
  </si>
  <si>
    <t>These factors relate to spending on construction projects, not to emissions relating to construction projects in the supply chain.</t>
  </si>
  <si>
    <t>These factors relate to transport services for hire or reward (including public transport services), not to emissions from vehicles owned by your company (for which estimates of actual fuel use should be used).  They differ from those shown in Annexes 6 and 7, insofar as the upstream emissions relating to transport services are not included in the other annexes.</t>
  </si>
  <si>
    <t xml:space="preserve">Calculation of Passenger Vehicle Greenhouse Gas Emissions </t>
  </si>
  <si>
    <t>Annual Fuel Usage (L)</t>
  </si>
  <si>
    <t>Annual Vehicle Kilometres Travelled (km)</t>
  </si>
  <si>
    <r>
      <t>Greenhouse Gas Emissions tonnes (CO</t>
    </r>
    <r>
      <rPr>
        <b/>
        <i/>
        <vertAlign val="subscript"/>
        <sz val="10"/>
        <rFont val="Arial"/>
        <family val="2"/>
      </rPr>
      <t>2</t>
    </r>
    <r>
      <rPr>
        <b/>
        <i/>
        <sz val="10"/>
        <rFont val="Arial"/>
        <family val="2"/>
      </rPr>
      <t xml:space="preserve"> Equivalent)</t>
    </r>
  </si>
  <si>
    <t>Annual Fuel Usage (Gigajoules)</t>
  </si>
  <si>
    <t>Proportion of Fuel Oxidised</t>
  </si>
  <si>
    <r>
      <t>CO</t>
    </r>
    <r>
      <rPr>
        <vertAlign val="subscript"/>
        <sz val="10"/>
        <rFont val="Arial"/>
        <family val="2"/>
      </rPr>
      <t>2</t>
    </r>
    <r>
      <rPr>
        <sz val="10"/>
        <rFont val="Arial"/>
        <family val="2"/>
      </rPr>
      <t xml:space="preserve"> Emission (g/MJ)</t>
    </r>
  </si>
  <si>
    <t>Energy Density (MJ/L)</t>
  </si>
  <si>
    <r>
      <t>CO</t>
    </r>
    <r>
      <rPr>
        <vertAlign val="subscript"/>
        <sz val="10"/>
        <rFont val="Arial"/>
        <family val="2"/>
      </rPr>
      <t>2</t>
    </r>
    <r>
      <rPr>
        <sz val="10"/>
        <rFont val="Arial"/>
        <family val="2"/>
      </rPr>
      <t xml:space="preserve"> Emissions (kg)</t>
    </r>
  </si>
  <si>
    <r>
      <t>CH</t>
    </r>
    <r>
      <rPr>
        <vertAlign val="subscript"/>
        <sz val="10"/>
        <rFont val="Arial"/>
        <family val="2"/>
      </rPr>
      <t>4</t>
    </r>
    <r>
      <rPr>
        <sz val="10"/>
        <rFont val="Arial"/>
        <family val="2"/>
      </rPr>
      <t xml:space="preserve"> Emission Factor (g/km)*</t>
    </r>
  </si>
  <si>
    <r>
      <t>CH</t>
    </r>
    <r>
      <rPr>
        <vertAlign val="subscript"/>
        <sz val="10"/>
        <rFont val="Arial"/>
        <family val="2"/>
      </rPr>
      <t>4</t>
    </r>
    <r>
      <rPr>
        <sz val="10"/>
        <rFont val="Arial"/>
        <family val="2"/>
      </rPr>
      <t xml:space="preserve"> Emissions (Kg)</t>
    </r>
  </si>
  <si>
    <r>
      <t>N</t>
    </r>
    <r>
      <rPr>
        <vertAlign val="subscript"/>
        <sz val="10"/>
        <rFont val="Arial"/>
        <family val="2"/>
      </rPr>
      <t>2</t>
    </r>
    <r>
      <rPr>
        <sz val="10"/>
        <rFont val="Arial"/>
        <family val="2"/>
      </rPr>
      <t>O Emission Factor (g/km)*</t>
    </r>
  </si>
  <si>
    <r>
      <t>N</t>
    </r>
    <r>
      <rPr>
        <vertAlign val="subscript"/>
        <sz val="10"/>
        <rFont val="Arial"/>
        <family val="2"/>
      </rPr>
      <t>2</t>
    </r>
    <r>
      <rPr>
        <sz val="10"/>
        <rFont val="Arial"/>
        <family val="2"/>
      </rPr>
      <t>O Emissions (Kg)</t>
    </r>
  </si>
  <si>
    <t>TOTALS</t>
  </si>
  <si>
    <t>* For the purposes of this calculation, it is assumed that the vehicle has travelled 20000 km in its lifetime.</t>
  </si>
  <si>
    <t xml:space="preserve">Notes- </t>
  </si>
  <si>
    <r>
      <t>1. Greenhouse gas emissions include CO</t>
    </r>
    <r>
      <rPr>
        <vertAlign val="subscript"/>
        <sz val="8"/>
        <rFont val="Arial"/>
        <family val="2"/>
      </rPr>
      <t>2</t>
    </r>
    <r>
      <rPr>
        <sz val="8"/>
        <rFont val="Arial"/>
        <family val="2"/>
      </rPr>
      <t>, CH</t>
    </r>
    <r>
      <rPr>
        <vertAlign val="subscript"/>
        <sz val="8"/>
        <rFont val="Arial"/>
        <family val="2"/>
      </rPr>
      <t>4</t>
    </r>
    <r>
      <rPr>
        <sz val="8"/>
        <rFont val="Arial"/>
        <family val="2"/>
      </rPr>
      <t xml:space="preserve"> and N</t>
    </r>
    <r>
      <rPr>
        <vertAlign val="subscript"/>
        <sz val="8"/>
        <rFont val="Arial"/>
        <family val="2"/>
      </rPr>
      <t>2</t>
    </r>
    <r>
      <rPr>
        <sz val="8"/>
        <rFont val="Arial"/>
        <family val="2"/>
      </rPr>
      <t xml:space="preserve">O.  </t>
    </r>
  </si>
  <si>
    <r>
      <t>2. CH</t>
    </r>
    <r>
      <rPr>
        <vertAlign val="subscript"/>
        <sz val="8"/>
        <rFont val="Arial"/>
        <family val="2"/>
      </rPr>
      <t>4</t>
    </r>
    <r>
      <rPr>
        <sz val="8"/>
        <rFont val="Arial"/>
        <family val="2"/>
      </rPr>
      <t xml:space="preserve"> has a global warming potential 21 times greater than CO</t>
    </r>
    <r>
      <rPr>
        <vertAlign val="subscript"/>
        <sz val="8"/>
        <rFont val="Arial"/>
        <family val="2"/>
      </rPr>
      <t>2</t>
    </r>
  </si>
  <si>
    <r>
      <t>3. N</t>
    </r>
    <r>
      <rPr>
        <vertAlign val="subscript"/>
        <sz val="8"/>
        <rFont val="Arial"/>
        <family val="2"/>
      </rPr>
      <t>2</t>
    </r>
    <r>
      <rPr>
        <sz val="8"/>
        <rFont val="Arial"/>
        <family val="2"/>
      </rPr>
      <t>O has a global warming potential 310 times greater than CO</t>
    </r>
    <r>
      <rPr>
        <vertAlign val="subscript"/>
        <sz val="8"/>
        <rFont val="Arial"/>
        <family val="2"/>
      </rPr>
      <t>2</t>
    </r>
  </si>
  <si>
    <t>4. Methodology source: Energy, Workbook for Transport (Mobile Sources), Workbook 3.1, National Greenhouse Gas Inventory Committee (see http://www.greenhouse.gov.au/inventory/methodology/index.html)</t>
  </si>
  <si>
    <t xml:space="preserve">5.  Spreadsheet developed by EPA Victoria.  </t>
  </si>
  <si>
    <t>Links:</t>
  </si>
  <si>
    <t>Det skjulte vandforbrug for forskellige produkter (liter vand)</t>
  </si>
  <si>
    <t>Skjult vandforbrug</t>
  </si>
  <si>
    <t>Det skjulte ressourceforbrug for fødevarer</t>
  </si>
  <si>
    <t>1 glas mælk (1,5 dl)</t>
  </si>
  <si>
    <t>Det skjulte ressourceforbrug for forskellige varer i hjemmet</t>
  </si>
  <si>
    <t>1 kg ost</t>
  </si>
  <si>
    <t>Det skjulte ressourceforbrug for tekstiler</t>
  </si>
  <si>
    <t>1 kg ris</t>
  </si>
  <si>
    <t>Udledningen af drivhusgasser fra produktion af forskellige produkter</t>
  </si>
  <si>
    <t>1 kg svinekød</t>
  </si>
  <si>
    <t>1 kg oksekød</t>
  </si>
  <si>
    <t>1 kg kylling</t>
  </si>
  <si>
    <t>1 kg brød</t>
  </si>
  <si>
    <t>1 kg kartofler og rodfrugter</t>
  </si>
  <si>
    <t>1 kg æbler i sæson</t>
  </si>
  <si>
    <t>1 kg appelsiner</t>
  </si>
  <si>
    <t>1 kg kål</t>
  </si>
  <si>
    <t>1 double burger</t>
  </si>
  <si>
    <t>1 kg hasselnødder</t>
  </si>
  <si>
    <t>1 kg chokolade</t>
  </si>
  <si>
    <t>1 glas vin (125 ml)</t>
  </si>
  <si>
    <t>1 glas øl (2,5 dl)</t>
  </si>
  <si>
    <t>1 T-shirt</t>
  </si>
  <si>
    <t>1 par lædersko</t>
  </si>
  <si>
    <t>Det skjulte ressourceforbrug for fødevarer (kg ressourceforbrug per kg produkt)</t>
  </si>
  <si>
    <t>Oksekød</t>
  </si>
  <si>
    <t>Fjerkræ</t>
  </si>
  <si>
    <t>Ost</t>
  </si>
  <si>
    <t>Smør</t>
  </si>
  <si>
    <t>Mælk</t>
  </si>
  <si>
    <t>Fisk (regnbueørred)</t>
  </si>
  <si>
    <t>Frikadeller</t>
  </si>
  <si>
    <t>Chili con carne</t>
  </si>
  <si>
    <t>Kødboller</t>
  </si>
  <si>
    <t>Dobbeltburger</t>
  </si>
  <si>
    <t>Ris</t>
  </si>
  <si>
    <t>Kartofler</t>
  </si>
  <si>
    <t>Rugbrød</t>
  </si>
  <si>
    <t>Blandet brød</t>
  </si>
  <si>
    <t>Risengrød</t>
  </si>
  <si>
    <t>Hasselnødder</t>
  </si>
  <si>
    <t>Tomat</t>
  </si>
  <si>
    <t>Ananas</t>
  </si>
  <si>
    <t>Æbler</t>
  </si>
  <si>
    <t>Øl</t>
  </si>
  <si>
    <t>Det skjulte ressourceforbrug for forskellige varer i hjemmet (kg ressourceforbrug per stk. af produktet)</t>
  </si>
  <si>
    <t>TV LCD</t>
  </si>
  <si>
    <t>TV Plasma</t>
  </si>
  <si>
    <t>DVD afspiller</t>
  </si>
  <si>
    <t>Kombineret køleskab og fryser</t>
  </si>
  <si>
    <t>Stationær computer</t>
  </si>
  <si>
    <t>Bærbar computer</t>
  </si>
  <si>
    <t>Opvaskemaskine</t>
  </si>
  <si>
    <t>Mobil telefon</t>
  </si>
  <si>
    <t>Spisestol (massiv fyr), Europa</t>
  </si>
  <si>
    <t>Spisestol (spånplade), Europa</t>
  </si>
  <si>
    <t>Stearinlys</t>
  </si>
  <si>
    <t>Det skjulte ressourceforbrug for tekstiler (kg ressourceforbrug per stk. af produktet)</t>
  </si>
  <si>
    <t>Læderbælte</t>
  </si>
  <si>
    <t>Lædersko</t>
  </si>
  <si>
    <t>Løbesko</t>
  </si>
  <si>
    <t>Jeans</t>
  </si>
  <si>
    <t>Nederdel</t>
  </si>
  <si>
    <t>Jakkesæt</t>
  </si>
  <si>
    <t>T-shirt</t>
  </si>
  <si>
    <t>Tæppe</t>
  </si>
  <si>
    <t>Udledningen af drivhusgasser fra produktion af forskellige produkter (gram CO2-ækvivalenter)</t>
  </si>
  <si>
    <t>1 liter vin</t>
  </si>
  <si>
    <t>1 liter øl</t>
  </si>
  <si>
    <t>100 g smør</t>
  </si>
  <si>
    <t>1 kg torsk (hel, fersk)</t>
  </si>
  <si>
    <t>1 kg torsk (fillet, frossen)</t>
  </si>
  <si>
    <t>1 kgrejer friske</t>
  </si>
  <si>
    <t>1 kgrejer frosne</t>
  </si>
  <si>
    <t>1 dobbeltburger</t>
  </si>
  <si>
    <t>1 kg tomater (drivhus)</t>
  </si>
  <si>
    <t>1 kg kartofler</t>
  </si>
  <si>
    <t>1 mobiltelefon</t>
  </si>
  <si>
    <t>1 T-shirt (bomuld)</t>
  </si>
  <si>
    <t>1 VW Golf A4 1.9 TDI</t>
  </si>
  <si>
    <t>5 tons</t>
  </si>
  <si>
    <t>Emission reduction =  annual emissions from vehicles - (number of miles driven per week * weeks in a year) / your current car's fuel efficiency + increased fuel efficiency) * pounds of CO2 emitted per gallon * emissions of greenhouse gases other than CO2</t>
  </si>
  <si>
    <t>Emballage</t>
  </si>
  <si>
    <t>Boligens forbrug</t>
  </si>
  <si>
    <t>CO2 Udledning</t>
  </si>
  <si>
    <t>Global Produktion</t>
  </si>
  <si>
    <t>Fremstillings- &amp; Brændværdi</t>
  </si>
  <si>
    <t>Materiale-indhold</t>
  </si>
  <si>
    <t>Støj</t>
  </si>
  <si>
    <t>Metan-udslip</t>
  </si>
  <si>
    <t>Boligopvarmning</t>
  </si>
  <si>
    <t>Madvarer</t>
  </si>
  <si>
    <t>Kørsels-Calculator</t>
  </si>
  <si>
    <t>Person-udledning</t>
  </si>
  <si>
    <t>Processer</t>
  </si>
  <si>
    <t>Ulykker og Lidelser</t>
  </si>
  <si>
    <t>Energiforbrug</t>
  </si>
  <si>
    <t>Belysning</t>
  </si>
  <si>
    <t>Fremstilling</t>
  </si>
  <si>
    <t>Gloser</t>
  </si>
  <si>
    <t>Skjult forbrug</t>
  </si>
  <si>
    <t>Proces-emissioner</t>
  </si>
  <si>
    <t>Konvertering</t>
  </si>
  <si>
    <t>Husets Udledning, Calculator</t>
  </si>
  <si>
    <t>Links til faner i dokumentet:</t>
  </si>
  <si>
    <t>Til Forsiden</t>
  </si>
  <si>
    <t>Unit Conversions</t>
  </si>
  <si>
    <t>Indirect emissions from the supply chain</t>
  </si>
  <si>
    <t xml:space="preserve">Forbrug og emmissioner
( i g ). </t>
  </si>
  <si>
    <t>Gram pr kWh</t>
  </si>
  <si>
    <t>Forskel</t>
  </si>
  <si>
    <t>60 W</t>
  </si>
  <si>
    <t>Glødepære</t>
  </si>
  <si>
    <t>Sparepære</t>
  </si>
  <si>
    <t>11 W</t>
  </si>
  <si>
    <t>40 W</t>
  </si>
  <si>
    <t>9 W</t>
  </si>
  <si>
    <t>Data for belysning, 1 time per dag i et år</t>
  </si>
  <si>
    <t>Forbrug af stenkul</t>
  </si>
  <si>
    <t>Forbrug af olie</t>
  </si>
  <si>
    <t>Forbrug af naturgas</t>
  </si>
  <si>
    <t>Udledning af CO2</t>
  </si>
  <si>
    <t>Udledning af Nox</t>
  </si>
  <si>
    <t>Udledning af SO2</t>
  </si>
  <si>
    <t>Udledning af partikler</t>
  </si>
  <si>
    <t>Udledning af NMVOC</t>
  </si>
  <si>
    <t>Kilde:  " Miljømæssige konsekvenser af borgernes adfærd og daglige valg.pdf"</t>
  </si>
  <si>
    <t>" Retningslinier for miljøvurdering af produkter "</t>
  </si>
  <si>
    <t>Forsyningshorisont og bortskaffelse</t>
  </si>
  <si>
    <t>Kilde Oksekød, Gul Ost mm. :  https://ing.dk/artikel/danskeres-mad-sviner-mere-end-biler-huse-tilsammen-186556?utm_source=nyhedsbrev&amp;utm_medium=email&amp;utm_campaign=daglig&amp;cx_newsletter=daglig&amp;cx_newsletterid=185861</t>
  </si>
  <si>
    <t>Fraktion</t>
  </si>
  <si>
    <t>Andel</t>
  </si>
  <si>
    <t>Mængde per husstand</t>
  </si>
  <si>
    <t>Mængde per person</t>
  </si>
  <si>
    <t>kg pr. år</t>
  </si>
  <si>
    <t>Kg pr år</t>
  </si>
  <si>
    <t>Ton pr år</t>
  </si>
  <si>
    <t>Ikke forarbejdet, vegetabilsk madspild</t>
  </si>
  <si>
    <t>Forarbejdet, vegetabilsk madspild</t>
  </si>
  <si>
    <t>Øvrigt vegetabilsk madaffald</t>
  </si>
  <si>
    <t>Ikke forarbejdet, animalsk madspild</t>
  </si>
  <si>
    <t>Forarbejdet, animalsk madspild</t>
  </si>
  <si>
    <t>Øvrigt animalsk madaffald</t>
  </si>
  <si>
    <t>Haveaffald m.v.</t>
  </si>
  <si>
    <t>Plastemballageaffald</t>
  </si>
  <si>
    <t>Papir- og papemballageaffald</t>
  </si>
  <si>
    <t>Metalemballageaffald</t>
  </si>
  <si>
    <t>Glasemballageaffald</t>
  </si>
  <si>
    <t>Genanvendeligt papiraffald</t>
  </si>
  <si>
    <t>Andet papiraffald</t>
  </si>
  <si>
    <t>Andet affald af metal</t>
  </si>
  <si>
    <t>Andet affald af plast</t>
  </si>
  <si>
    <t>Batterier og andet farligt affald</t>
  </si>
  <si>
    <t>&lt;1</t>
  </si>
  <si>
    <t>Småt elektronikaffald</t>
  </si>
  <si>
    <t>Andet brændbart affald</t>
  </si>
  <si>
    <t>Andet ej brændbart affald</t>
  </si>
  <si>
    <t>Affaldssæk</t>
  </si>
  <si>
    <t>Køleskab + dybfryser 1.378+1.527</t>
  </si>
  <si>
    <t>3 personers sofa + transport inden for Europa</t>
  </si>
  <si>
    <t>Lænestol + 
transport inden for  Europa</t>
  </si>
  <si>
    <t>http://www.brugmerespildmindre.dk/hvorfor-er-affald-et-problem</t>
  </si>
  <si>
    <t>Dagrenovation for enfamilieboliger</t>
  </si>
  <si>
    <t xml:space="preserve">Dagrenovation_Kilde: </t>
  </si>
  <si>
    <t>Fossil Fuels: Comparison on emissions</t>
  </si>
  <si>
    <t>(1)</t>
  </si>
  <si>
    <t>Power stations</t>
  </si>
  <si>
    <t>Fuel Cell power station</t>
  </si>
  <si>
    <t>(g/kWh)</t>
  </si>
  <si>
    <t>COAL</t>
  </si>
  <si>
    <t>OIL</t>
  </si>
  <si>
    <t>GAS</t>
  </si>
  <si>
    <t>Note: Clean coal emissions:</t>
  </si>
  <si>
    <t>NOx</t>
  </si>
  <si>
    <t xml:space="preserve">NOx </t>
  </si>
  <si>
    <t>2.3 g/kWh</t>
  </si>
  <si>
    <t>SOx</t>
  </si>
  <si>
    <t>5.7 g/kWh</t>
  </si>
  <si>
    <t>NMHC</t>
  </si>
  <si>
    <t>PM</t>
  </si>
  <si>
    <t>CHP schemes</t>
  </si>
  <si>
    <t>Small scale CHP schemes</t>
  </si>
  <si>
    <t>(4)</t>
  </si>
  <si>
    <t>Gas Engine</t>
  </si>
  <si>
    <t>Gas Turbine</t>
  </si>
  <si>
    <t>Fuel Cell</t>
  </si>
  <si>
    <t>(g/kWhe)</t>
  </si>
  <si>
    <t>Coal fps</t>
  </si>
  <si>
    <t>Gas turbine</t>
  </si>
  <si>
    <t>15-25</t>
  </si>
  <si>
    <t>0-1</t>
  </si>
  <si>
    <t>1-2</t>
  </si>
  <si>
    <t>(2)</t>
  </si>
  <si>
    <t>(5)</t>
  </si>
  <si>
    <t>CHP</t>
  </si>
  <si>
    <t>PAFC CHP</t>
  </si>
  <si>
    <t>SOFC CHP</t>
  </si>
  <si>
    <t>Stirling</t>
  </si>
  <si>
    <t>1.0-21</t>
  </si>
  <si>
    <t>0.2-0.7</t>
  </si>
  <si>
    <t>HC</t>
  </si>
  <si>
    <t>1.3-3.0</t>
  </si>
  <si>
    <t>2.7-22</t>
  </si>
  <si>
    <t>0.07-0.6</t>
  </si>
  <si>
    <t>Landfill: Comparison of typical</t>
  </si>
  <si>
    <t xml:space="preserve">                  emissions</t>
  </si>
  <si>
    <t>(3)</t>
  </si>
  <si>
    <t>Diesel Engine</t>
  </si>
  <si>
    <t>(1) The role of FC in future energy scenarios, Energy Production Processes, IChemE, 1988</t>
  </si>
  <si>
    <t>(2) Environmental benefits of transport and stationary FC, J. of Power Sources, 1998</t>
  </si>
  <si>
    <t>(3) Groton FC, operating a FC on landfill gas, http://www.nu.com/energy/fuelcell.htm</t>
  </si>
  <si>
    <t>(4) An environmental guide to small-scale CHP, ETSU GPG 115, 1996</t>
  </si>
  <si>
    <t>(5) A Technical and economic asessment of small stirlig engines for CHP, ETSU FPR 32, 1993</t>
  </si>
  <si>
    <t>Methane emissions</t>
  </si>
  <si>
    <t xml:space="preserve">The global warming effect of methane emissions is approximately 58x that of CO2 emissions by mass (ref 6). </t>
  </si>
  <si>
    <t>Hence approx 17.2 g/kWhe of methane is equivalent to 1000g/kWhe of CO2.</t>
  </si>
  <si>
    <t>(The factor for NO2 is 200x and 5 g/kWhe of NO2 is equivalent to 1000g/kWhe of CO2)</t>
  </si>
  <si>
    <t>The worst case scenario is when all the methane from whatever source is released to atsmosphere and none is used for energy generation.</t>
  </si>
  <si>
    <t>This represents a potential electricty output where 58.3 g/kWhe of methane would be used by a 100% efficient device.</t>
  </si>
  <si>
    <t xml:space="preserve">(6) C Soames; Environmental technology and economics; Butterworth Heinemann 1999  </t>
  </si>
  <si>
    <t>Emissionssammenligning for Fuel</t>
  </si>
  <si>
    <t>Kilde: https://www.trafikstyrelsen.dk/~/media/Dokumenter/15%20byggeri/Baredygtigt%20byggeri/Nye%20emissionsfaktorer%20for%20el%20og%20fjernvarme%20plus%20260216.pdf</t>
  </si>
  <si>
    <t>Plast materialer</t>
  </si>
  <si>
    <t>Andre materialer</t>
  </si>
  <si>
    <t>Basic Data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</si>
</sst>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 #,##0.00_);_(* \(#,##0.00\);_(* &quot;-&quot;??_);_(@_)"/>
    <numFmt numFmtId="165" formatCode="0.000"/>
    <numFmt numFmtId="166" formatCode="0.0E+00"/>
    <numFmt numFmtId="167" formatCode="0.0"/>
    <numFmt numFmtId="168" formatCode="_(* #,##0_);_(* \(#,##0\);_(* &quot;-&quot;??_);_(@_)"/>
    <numFmt numFmtId="169" formatCode="_(* #,##0.000_);_(* \(#,##0.000\);_(* &quot;-&quot;??_);_(@_)"/>
    <numFmt numFmtId="170" formatCode="0.0%"/>
    <numFmt numFmtId="171" formatCode="#,##0.000"/>
    <numFmt numFmtId="172" formatCode="#,##0.0000"/>
    <numFmt numFmtId="173" formatCode="#,##0.00000"/>
    <numFmt numFmtId="174" formatCode="_(* #,##0.0_);_(* \(#,##0.0\);_(* &quot;-&quot;??_);_(@_)"/>
    <numFmt numFmtId="175" formatCode="_(* #,##0.000000_);_(* \(#,##0.000000\);_(* &quot;-&quot;??_);_(@_)"/>
    <numFmt numFmtId="176" formatCode="_(* #,##0.00000_);_(* \(#,##0.00000\);_(* &quot;-&quot;??_);_(@_)"/>
    <numFmt numFmtId="177" formatCode="_(* #,##0.0000_);_(* \(#,##0.0000\);_(* &quot;-&quot;??_);_(@_)"/>
    <numFmt numFmtId="178" formatCode="0_);\(0\)"/>
    <numFmt numFmtId="179" formatCode="0.0000"/>
    <numFmt numFmtId="180" formatCode="#,##0.0"/>
    <numFmt numFmtId="181" formatCode="#,##0.000000000"/>
    <numFmt numFmtId="182" formatCode="#,##0.0000000"/>
    <numFmt numFmtId="183" formatCode="0.00000"/>
    <numFmt numFmtId="184" formatCode="0.0000000"/>
    <numFmt numFmtId="185" formatCode="0.000000"/>
    <numFmt numFmtId="186" formatCode="0.00000000"/>
  </numFmts>
  <fonts count="117">
    <font>
      <sz val="10"/>
      <name val="Arial"/>
    </font>
    <font>
      <sz val="10"/>
      <name val="Arial"/>
      <family val="2"/>
    </font>
    <font>
      <sz val="8"/>
      <name val="Arial"/>
      <family val="2"/>
    </font>
    <font>
      <sz val="8"/>
      <color indexed="81"/>
      <name val="Tahoma"/>
      <family val="2"/>
    </font>
    <font>
      <b/>
      <sz val="8"/>
      <color indexed="81"/>
      <name val="Tahoma"/>
      <family val="2"/>
    </font>
    <font>
      <sz val="12"/>
      <name val="Times New Roman"/>
      <family val="1"/>
    </font>
    <font>
      <u/>
      <sz val="10"/>
      <color indexed="12"/>
      <name val="Arial"/>
      <family val="2"/>
    </font>
    <font>
      <b/>
      <sz val="12"/>
      <name val="Times New Roman"/>
      <family val="1"/>
    </font>
    <font>
      <sz val="11"/>
      <name val="Times New Roman"/>
      <family val="1"/>
    </font>
    <font>
      <sz val="10"/>
      <name val="Times New Roman"/>
      <family val="1"/>
    </font>
    <font>
      <b/>
      <sz val="10"/>
      <name val="Times New Roman"/>
      <family val="1"/>
    </font>
    <font>
      <vertAlign val="subscript"/>
      <sz val="12"/>
      <name val="Times New Roman"/>
      <family val="1"/>
    </font>
    <font>
      <vertAlign val="superscript"/>
      <sz val="10"/>
      <name val="Times New Roman"/>
      <family val="1"/>
    </font>
    <font>
      <vertAlign val="subscript"/>
      <sz val="10"/>
      <name val="Times New Roman"/>
      <family val="1"/>
    </font>
    <font>
      <b/>
      <vertAlign val="superscript"/>
      <sz val="10"/>
      <name val="Times New Roman"/>
      <family val="1"/>
    </font>
    <font>
      <sz val="8"/>
      <name val="Times New Roman"/>
      <family val="1"/>
    </font>
    <font>
      <sz val="8"/>
      <color indexed="8"/>
      <name val="Verdana"/>
      <family val="2"/>
    </font>
    <font>
      <vertAlign val="superscript"/>
      <sz val="8"/>
      <color indexed="8"/>
      <name val="Verdana"/>
      <family val="2"/>
    </font>
    <font>
      <b/>
      <sz val="10"/>
      <color indexed="10"/>
      <name val="Times New Roman"/>
      <family val="1"/>
    </font>
    <font>
      <sz val="9"/>
      <color indexed="8"/>
      <name val="Verdana"/>
      <family val="2"/>
    </font>
    <font>
      <b/>
      <sz val="12"/>
      <name val="Arial"/>
      <family val="2"/>
    </font>
    <font>
      <sz val="10"/>
      <name val="Arial"/>
      <family val="2"/>
    </font>
    <font>
      <sz val="8"/>
      <name val="Arial"/>
      <family val="2"/>
    </font>
    <font>
      <sz val="10"/>
      <color indexed="8"/>
      <name val="Arial"/>
      <family val="2"/>
    </font>
    <font>
      <sz val="10"/>
      <name val="Arial"/>
      <family val="2"/>
    </font>
    <font>
      <b/>
      <sz val="10"/>
      <name val="Arial"/>
      <family val="2"/>
    </font>
    <font>
      <sz val="10"/>
      <color indexed="8"/>
      <name val="Arial"/>
      <family val="2"/>
    </font>
    <font>
      <b/>
      <sz val="10"/>
      <name val="Arial"/>
      <family val="2"/>
    </font>
    <font>
      <sz val="10"/>
      <color indexed="18"/>
      <name val="Arial"/>
      <family val="2"/>
    </font>
    <font>
      <u/>
      <sz val="10"/>
      <color indexed="12"/>
      <name val="Arial"/>
      <family val="2"/>
    </font>
    <font>
      <vertAlign val="subscript"/>
      <sz val="10"/>
      <name val="Arial"/>
      <family val="2"/>
    </font>
    <font>
      <sz val="9"/>
      <color indexed="23"/>
      <name val="Arial"/>
      <family val="2"/>
    </font>
    <font>
      <vertAlign val="subscript"/>
      <sz val="9"/>
      <color indexed="23"/>
      <name val="Arial"/>
      <family val="2"/>
    </font>
    <font>
      <i/>
      <sz val="10"/>
      <name val="Arial"/>
      <family val="2"/>
    </font>
    <font>
      <sz val="9"/>
      <name val="Arial"/>
      <family val="2"/>
    </font>
    <font>
      <vertAlign val="superscript"/>
      <sz val="9"/>
      <name val="Arial"/>
      <family val="2"/>
    </font>
    <font>
      <sz val="10"/>
      <name val="Geneva"/>
    </font>
    <font>
      <b/>
      <sz val="16"/>
      <name val="Geneva"/>
    </font>
    <font>
      <sz val="9"/>
      <name val="Geneva"/>
    </font>
    <font>
      <vertAlign val="subscript"/>
      <sz val="10"/>
      <name val="Geneva"/>
    </font>
    <font>
      <b/>
      <sz val="10"/>
      <name val="Geneva"/>
    </font>
    <font>
      <b/>
      <sz val="9"/>
      <name val="Geneva"/>
    </font>
    <font>
      <b/>
      <sz val="12"/>
      <name val="Geneva"/>
    </font>
    <font>
      <b/>
      <vertAlign val="subscript"/>
      <sz val="10"/>
      <name val="Geneva"/>
    </font>
    <font>
      <b/>
      <vertAlign val="subscript"/>
      <sz val="9"/>
      <name val="Geneva"/>
    </font>
    <font>
      <sz val="9"/>
      <color indexed="10"/>
      <name val="Geneva"/>
    </font>
    <font>
      <i/>
      <sz val="9"/>
      <name val="Geneva"/>
    </font>
    <font>
      <b/>
      <sz val="14"/>
      <name val="Geneva"/>
    </font>
    <font>
      <b/>
      <vertAlign val="subscript"/>
      <sz val="12"/>
      <name val="Geneva"/>
    </font>
    <font>
      <i/>
      <sz val="8"/>
      <name val="Geneva"/>
    </font>
    <font>
      <b/>
      <sz val="10"/>
      <color indexed="9"/>
      <name val="Arial"/>
      <family val="2"/>
    </font>
    <font>
      <sz val="10"/>
      <color indexed="9"/>
      <name val="Arial"/>
      <family val="2"/>
    </font>
    <font>
      <sz val="10"/>
      <color indexed="21"/>
      <name val="Arial"/>
      <family val="2"/>
    </font>
    <font>
      <sz val="9"/>
      <color indexed="55"/>
      <name val="Geneva"/>
    </font>
    <font>
      <sz val="10"/>
      <color indexed="55"/>
      <name val="Geneva"/>
    </font>
    <font>
      <sz val="10"/>
      <color indexed="55"/>
      <name val="Arial"/>
      <family val="2"/>
    </font>
    <font>
      <b/>
      <sz val="10"/>
      <color indexed="55"/>
      <name val="Geneva"/>
    </font>
    <font>
      <u/>
      <sz val="10"/>
      <name val="Arial"/>
      <family val="2"/>
    </font>
    <font>
      <i/>
      <u/>
      <sz val="10"/>
      <name val="Arial"/>
      <family val="2"/>
    </font>
    <font>
      <b/>
      <u/>
      <sz val="10"/>
      <name val="Arial"/>
      <family val="2"/>
    </font>
    <font>
      <u/>
      <sz val="10"/>
      <color indexed="9"/>
      <name val="Arial"/>
      <family val="2"/>
    </font>
    <font>
      <i/>
      <u/>
      <sz val="10"/>
      <color indexed="9"/>
      <name val="Arial"/>
      <family val="2"/>
    </font>
    <font>
      <b/>
      <sz val="10"/>
      <color indexed="10"/>
      <name val="Arial"/>
      <family val="2"/>
    </font>
    <font>
      <u/>
      <sz val="10"/>
      <color indexed="10"/>
      <name val="Arial"/>
      <family val="2"/>
    </font>
    <font>
      <sz val="10"/>
      <color indexed="10"/>
      <name val="Arial"/>
      <family val="2"/>
    </font>
    <font>
      <b/>
      <sz val="9"/>
      <color indexed="10"/>
      <name val="Geneva"/>
    </font>
    <font>
      <sz val="11"/>
      <color theme="1"/>
      <name val="Calibri"/>
      <family val="2"/>
      <scheme val="minor"/>
    </font>
    <font>
      <sz val="10"/>
      <color theme="1"/>
      <name val="Corbel"/>
      <family val="2"/>
    </font>
    <font>
      <b/>
      <sz val="10"/>
      <color rgb="FF000000"/>
      <name val="Arial"/>
      <family val="2"/>
    </font>
    <font>
      <sz val="10"/>
      <color rgb="FF000000"/>
      <name val="Arial"/>
      <family val="2"/>
    </font>
    <font>
      <sz val="10"/>
      <color rgb="FF0B0080"/>
      <name val="Arial"/>
      <family val="2"/>
    </font>
    <font>
      <b/>
      <sz val="9"/>
      <color rgb="FF666666"/>
      <name val="Arial"/>
      <family val="2"/>
    </font>
    <font>
      <sz val="9"/>
      <color rgb="FF666666"/>
      <name val="Arial"/>
      <family val="2"/>
    </font>
    <font>
      <sz val="9"/>
      <color indexed="81"/>
      <name val="Tahoma"/>
      <family val="2"/>
    </font>
    <font>
      <b/>
      <sz val="9"/>
      <color indexed="81"/>
      <name val="Tahoma"/>
      <family val="2"/>
    </font>
    <font>
      <b/>
      <vertAlign val="subscript"/>
      <sz val="12"/>
      <name val="Times New Roman"/>
      <family val="1"/>
    </font>
    <font>
      <b/>
      <vertAlign val="subscript"/>
      <sz val="10"/>
      <name val="Times New Roman"/>
      <family val="1"/>
    </font>
    <font>
      <i/>
      <sz val="10"/>
      <name val="Times New Roman"/>
      <family val="1"/>
    </font>
    <font>
      <sz val="11.5"/>
      <name val="TTE22D1548t00"/>
    </font>
    <font>
      <b/>
      <sz val="12"/>
      <color rgb="FF000000"/>
      <name val="Times New Roman"/>
      <family val="1"/>
    </font>
    <font>
      <i/>
      <sz val="10"/>
      <name val="Tahoma"/>
      <family val="2"/>
    </font>
    <font>
      <sz val="11.5"/>
      <name val="TTE1BB2F68t00"/>
    </font>
    <font>
      <sz val="9.5"/>
      <name val="TTE22D1548t00"/>
    </font>
    <font>
      <vertAlign val="superscript"/>
      <sz val="10"/>
      <name val="Arial"/>
      <family val="2"/>
    </font>
    <font>
      <sz val="4"/>
      <name val="Arial"/>
      <family val="2"/>
    </font>
    <font>
      <b/>
      <vertAlign val="superscript"/>
      <sz val="10"/>
      <color indexed="9"/>
      <name val="Arial"/>
      <family val="2"/>
    </font>
    <font>
      <vertAlign val="superscript"/>
      <sz val="8"/>
      <name val="Arial"/>
      <family val="2"/>
    </font>
    <font>
      <vertAlign val="subscript"/>
      <sz val="8"/>
      <name val="Arial"/>
      <family val="2"/>
    </font>
    <font>
      <b/>
      <sz val="9"/>
      <name val="Arial"/>
      <family val="2"/>
    </font>
    <font>
      <b/>
      <sz val="6"/>
      <name val="Arial"/>
      <family val="2"/>
    </font>
    <font>
      <sz val="6"/>
      <name val="Arial"/>
      <family val="2"/>
    </font>
    <font>
      <b/>
      <sz val="8"/>
      <name val="Arial"/>
      <family val="2"/>
    </font>
    <font>
      <b/>
      <i/>
      <sz val="10"/>
      <color indexed="9"/>
      <name val="Arial"/>
      <family val="2"/>
    </font>
    <font>
      <sz val="10"/>
      <color rgb="FFFF0000"/>
      <name val="Arial"/>
      <family val="2"/>
    </font>
    <font>
      <sz val="2"/>
      <name val="Arial"/>
      <family val="2"/>
    </font>
    <font>
      <b/>
      <u/>
      <sz val="2"/>
      <name val="Arial"/>
      <family val="2"/>
    </font>
    <font>
      <b/>
      <u/>
      <sz val="6"/>
      <name val="Arial"/>
      <family val="2"/>
    </font>
    <font>
      <sz val="10"/>
      <color indexed="12"/>
      <name val="Arial"/>
      <family val="2"/>
    </font>
    <font>
      <b/>
      <sz val="2"/>
      <name val="Arial"/>
      <family val="2"/>
    </font>
    <font>
      <u/>
      <sz val="2"/>
      <name val="Arial"/>
      <family val="2"/>
    </font>
    <font>
      <sz val="10"/>
      <color rgb="FF0000FF"/>
      <name val="Calibri"/>
      <family val="2"/>
      <scheme val="minor"/>
    </font>
    <font>
      <u/>
      <sz val="9"/>
      <name val="Arial"/>
      <family val="2"/>
    </font>
    <font>
      <b/>
      <vertAlign val="subscript"/>
      <sz val="10"/>
      <color indexed="9"/>
      <name val="Arial"/>
      <family val="2"/>
    </font>
    <font>
      <vertAlign val="subscript"/>
      <sz val="9"/>
      <name val="Arial"/>
      <family val="2"/>
    </font>
    <font>
      <u/>
      <sz val="8"/>
      <color indexed="12"/>
      <name val="Arial"/>
      <family val="2"/>
    </font>
    <font>
      <vertAlign val="superscript"/>
      <sz val="6"/>
      <name val="Arial"/>
      <family val="2"/>
    </font>
    <font>
      <b/>
      <i/>
      <sz val="10"/>
      <color indexed="21"/>
      <name val="Arial"/>
      <family val="2"/>
    </font>
    <font>
      <b/>
      <i/>
      <sz val="10"/>
      <name val="Arial"/>
      <family val="2"/>
    </font>
    <font>
      <b/>
      <i/>
      <vertAlign val="subscript"/>
      <sz val="10"/>
      <name val="Arial"/>
      <family val="2"/>
    </font>
    <font>
      <b/>
      <sz val="11"/>
      <color theme="1"/>
      <name val="Calibri"/>
      <family val="2"/>
      <scheme val="minor"/>
    </font>
    <font>
      <b/>
      <u/>
      <sz val="11"/>
      <color rgb="FFFF0000"/>
      <name val="Calibri"/>
      <family val="2"/>
      <scheme val="minor"/>
    </font>
    <font>
      <b/>
      <u/>
      <sz val="10"/>
      <color rgb="FFFF0000"/>
      <name val="Arial"/>
      <family val="2"/>
    </font>
    <font>
      <i/>
      <sz val="8"/>
      <color rgb="FF000000"/>
      <name val="Verdana"/>
      <family val="2"/>
    </font>
    <font>
      <sz val="14"/>
      <name val="Arial"/>
      <family val="2"/>
    </font>
    <font>
      <sz val="12"/>
      <name val="Arial"/>
      <family val="2"/>
    </font>
    <font>
      <b/>
      <sz val="14"/>
      <name val="Arial"/>
      <family val="2"/>
    </font>
    <font>
      <sz val="14"/>
      <color rgb="FF000000"/>
      <name val="Calibri"/>
      <family val="2"/>
    </font>
  </fonts>
  <fills count="30">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65"/>
        <bgColor indexed="64"/>
      </patternFill>
    </fill>
    <fill>
      <patternFill patternType="solid">
        <fgColor indexed="23"/>
        <bgColor indexed="64"/>
      </patternFill>
    </fill>
    <fill>
      <patternFill patternType="solid">
        <fgColor indexed="44"/>
        <bgColor indexed="64"/>
      </patternFill>
    </fill>
    <fill>
      <patternFill patternType="solid">
        <fgColor indexed="45"/>
        <bgColor indexed="64"/>
      </patternFill>
    </fill>
    <fill>
      <patternFill patternType="solid">
        <fgColor indexed="41"/>
        <bgColor indexed="64"/>
      </patternFill>
    </fill>
    <fill>
      <patternFill patternType="solid">
        <fgColor indexed="21"/>
        <bgColor indexed="64"/>
      </patternFill>
    </fill>
    <fill>
      <patternFill patternType="solid">
        <fgColor indexed="8"/>
        <bgColor indexed="64"/>
      </patternFill>
    </fill>
    <fill>
      <patternFill patternType="solid">
        <fgColor indexed="31"/>
        <bgColor indexed="64"/>
      </patternFill>
    </fill>
    <fill>
      <patternFill patternType="solid">
        <fgColor indexed="51"/>
        <bgColor indexed="64"/>
      </patternFill>
    </fill>
    <fill>
      <patternFill patternType="solid">
        <fgColor indexed="42"/>
        <bgColor indexed="64"/>
      </patternFill>
    </fill>
    <fill>
      <patternFill patternType="solid">
        <fgColor indexed="47"/>
        <bgColor indexed="64"/>
      </patternFill>
    </fill>
    <fill>
      <patternFill patternType="solid">
        <fgColor rgb="FFF2F2F2"/>
        <bgColor indexed="64"/>
      </patternFill>
    </fill>
    <fill>
      <patternFill patternType="solid">
        <fgColor rgb="FFF9F9F9"/>
        <bgColor indexed="64"/>
      </patternFill>
    </fill>
    <fill>
      <patternFill patternType="solid">
        <fgColor theme="0"/>
        <bgColor indexed="64"/>
      </patternFill>
    </fill>
    <fill>
      <patternFill patternType="solid">
        <fgColor rgb="FFFFFFFF"/>
        <bgColor indexed="64"/>
      </patternFill>
    </fill>
    <fill>
      <patternFill patternType="solid">
        <fgColor indexed="55"/>
        <bgColor indexed="64"/>
      </patternFill>
    </fill>
    <fill>
      <patternFill patternType="solid">
        <fgColor indexed="23"/>
        <bgColor indexed="16"/>
      </patternFill>
    </fill>
    <fill>
      <patternFill patternType="solid">
        <fgColor indexed="63"/>
        <bgColor indexed="64"/>
      </patternFill>
    </fill>
    <fill>
      <patternFill patternType="solid">
        <fgColor indexed="46"/>
        <bgColor indexed="64"/>
      </patternFill>
    </fill>
    <fill>
      <patternFill patternType="solid">
        <fgColor indexed="5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FF99"/>
        <bgColor indexed="64"/>
      </patternFill>
    </fill>
  </fills>
  <borders count="117">
    <border>
      <left/>
      <right/>
      <top/>
      <bottom/>
      <diagonal/>
    </border>
    <border>
      <left style="thin">
        <color indexed="22"/>
      </left>
      <right style="thin">
        <color indexed="22"/>
      </right>
      <top style="thin">
        <color indexed="22"/>
      </top>
      <bottom style="thin">
        <color indexed="22"/>
      </bottom>
      <diagonal/>
    </border>
    <border>
      <left style="medium">
        <color indexed="64"/>
      </left>
      <right style="dotted">
        <color indexed="64"/>
      </right>
      <top/>
      <bottom style="dotted">
        <color indexed="64"/>
      </bottom>
      <diagonal/>
    </border>
    <border>
      <left/>
      <right style="dotted">
        <color indexed="64"/>
      </right>
      <top/>
      <bottom style="dotted">
        <color indexed="64"/>
      </bottom>
      <diagonal/>
    </border>
    <border>
      <left/>
      <right style="medium">
        <color indexed="64"/>
      </right>
      <top/>
      <bottom style="dotted">
        <color indexed="64"/>
      </bottom>
      <diagonal/>
    </border>
    <border>
      <left style="medium">
        <color indexed="64"/>
      </left>
      <right style="dotted">
        <color indexed="64"/>
      </right>
      <top/>
      <bottom/>
      <diagonal/>
    </border>
    <border>
      <left/>
      <right style="medium">
        <color indexed="64"/>
      </right>
      <top/>
      <bottom/>
      <diagonal/>
    </border>
    <border>
      <left style="medium">
        <color indexed="64"/>
      </left>
      <right style="dotted">
        <color indexed="64"/>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tted">
        <color indexed="64"/>
      </right>
      <top/>
      <bottom/>
      <diagonal/>
    </border>
    <border>
      <left style="medium">
        <color indexed="64"/>
      </left>
      <right style="dotted">
        <color indexed="64"/>
      </right>
      <top style="thick">
        <color indexed="64"/>
      </top>
      <bottom style="medium">
        <color indexed="64"/>
      </bottom>
      <diagonal/>
    </border>
    <border>
      <left/>
      <right style="dotted">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dotted">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dotted">
        <color indexed="64"/>
      </right>
      <top/>
      <bottom style="thick">
        <color indexed="64"/>
      </bottom>
      <diagonal/>
    </border>
    <border>
      <left/>
      <right style="medium">
        <color indexed="64"/>
      </right>
      <top/>
      <bottom style="thick">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style="dotted">
        <color indexed="64"/>
      </right>
      <top style="medium">
        <color indexed="64"/>
      </top>
      <bottom style="thick">
        <color indexed="64"/>
      </bottom>
      <diagonal/>
    </border>
    <border>
      <left/>
      <right style="dotted">
        <color indexed="64"/>
      </right>
      <top style="medium">
        <color indexed="64"/>
      </top>
      <bottom style="thick">
        <color indexed="64"/>
      </bottom>
      <diagonal/>
    </border>
    <border>
      <left/>
      <right style="medium">
        <color indexed="64"/>
      </right>
      <top style="medium">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thick">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thick">
        <color indexed="64"/>
      </bottom>
      <diagonal/>
    </border>
    <border>
      <left style="medium">
        <color indexed="64"/>
      </left>
      <right/>
      <top style="thick">
        <color indexed="64"/>
      </top>
      <bottom style="dotted">
        <color indexed="64"/>
      </bottom>
      <diagonal/>
    </border>
    <border>
      <left/>
      <right/>
      <top style="thick">
        <color indexed="64"/>
      </top>
      <bottom style="dotted">
        <color indexed="64"/>
      </bottom>
      <diagonal/>
    </border>
    <border>
      <left/>
      <right style="medium">
        <color indexed="64"/>
      </right>
      <top style="thick">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thick">
        <color indexed="64"/>
      </bottom>
      <diagonal/>
    </border>
    <border>
      <left style="thin">
        <color indexed="64"/>
      </left>
      <right/>
      <top style="medium">
        <color indexed="64"/>
      </top>
      <bottom style="medium">
        <color indexed="64"/>
      </bottom>
      <diagonal/>
    </border>
    <border>
      <left style="medium">
        <color rgb="FFAAAAAA"/>
      </left>
      <right style="medium">
        <color rgb="FFAAAAAA"/>
      </right>
      <top style="medium">
        <color rgb="FFAAAAAA"/>
      </top>
      <bottom/>
      <diagonal/>
    </border>
    <border>
      <left style="medium">
        <color rgb="FFAAAAAA"/>
      </left>
      <right style="medium">
        <color rgb="FFAAAAAA"/>
      </right>
      <top/>
      <bottom style="medium">
        <color rgb="FFAAAAAA"/>
      </bottom>
      <diagonal/>
    </border>
    <border>
      <left style="medium">
        <color rgb="FFAAAAAA"/>
      </left>
      <right style="medium">
        <color rgb="FFAAAAAA"/>
      </right>
      <top style="medium">
        <color rgb="FFAAAAAA"/>
      </top>
      <bottom style="medium">
        <color rgb="FFAAAAAA"/>
      </bottom>
      <diagonal/>
    </border>
    <border>
      <left style="medium">
        <color rgb="FFAAAAAA"/>
      </left>
      <right/>
      <top style="medium">
        <color rgb="FFAAAAAA"/>
      </top>
      <bottom style="medium">
        <color rgb="FFAAAAAA"/>
      </bottom>
      <diagonal/>
    </border>
    <border>
      <left/>
      <right style="medium">
        <color rgb="FFAAAAAA"/>
      </right>
      <top style="medium">
        <color rgb="FFAAAAAA"/>
      </top>
      <bottom style="medium">
        <color rgb="FFAAAAAA"/>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8"/>
      </left>
      <right/>
      <top style="thin">
        <color indexed="8"/>
      </top>
      <bottom/>
      <diagonal/>
    </border>
    <border>
      <left style="thin">
        <color indexed="8"/>
      </left>
      <right/>
      <top/>
      <bottom/>
      <diagonal/>
    </border>
    <border>
      <left/>
      <right/>
      <top style="thin">
        <color indexed="8"/>
      </top>
      <bottom/>
      <diagonal/>
    </border>
  </borders>
  <cellStyleXfs count="17">
    <xf numFmtId="0" fontId="0" fillId="0" borderId="0"/>
    <xf numFmtId="164" fontId="1" fillId="0" borderId="0" applyFont="0" applyFill="0" applyBorder="0" applyAlignment="0" applyProtection="0"/>
    <xf numFmtId="164" fontId="21" fillId="0" borderId="0" applyFont="0" applyFill="0" applyBorder="0" applyAlignment="0" applyProtection="0"/>
    <xf numFmtId="0" fontId="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1" fillId="0" borderId="0"/>
    <xf numFmtId="0" fontId="21" fillId="0" borderId="0"/>
    <xf numFmtId="0" fontId="66" fillId="0" borderId="0"/>
    <xf numFmtId="0" fontId="21" fillId="0" borderId="0"/>
    <xf numFmtId="0" fontId="67" fillId="0" borderId="0"/>
    <xf numFmtId="0" fontId="21" fillId="0" borderId="0"/>
    <xf numFmtId="0" fontId="23" fillId="0" borderId="0"/>
    <xf numFmtId="0" fontId="23" fillId="0" borderId="0"/>
    <xf numFmtId="0" fontId="26" fillId="0" borderId="0"/>
    <xf numFmtId="0" fontId="24" fillId="0" borderId="0"/>
    <xf numFmtId="9" fontId="1" fillId="0" borderId="0" applyFont="0" applyFill="0" applyBorder="0" applyAlignment="0" applyProtection="0"/>
    <xf numFmtId="9" fontId="21" fillId="0" borderId="0" applyFont="0" applyFill="0" applyBorder="0" applyAlignment="0" applyProtection="0"/>
  </cellStyleXfs>
  <cellXfs count="1145">
    <xf numFmtId="0" fontId="0" fillId="0" borderId="0" xfId="0"/>
    <xf numFmtId="3" fontId="0" fillId="0" borderId="0" xfId="0" applyNumberFormat="1"/>
    <xf numFmtId="0" fontId="0" fillId="0" borderId="0" xfId="0" applyAlignment="1">
      <alignment wrapText="1"/>
    </xf>
    <xf numFmtId="0" fontId="0" fillId="0" borderId="0" xfId="0" quotePrefix="1"/>
    <xf numFmtId="0" fontId="0" fillId="2" borderId="0" xfId="0" applyFill="1"/>
    <xf numFmtId="0" fontId="5" fillId="0" borderId="0" xfId="0" applyFont="1"/>
    <xf numFmtId="0" fontId="0" fillId="0" borderId="2" xfId="0"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0" fillId="2" borderId="0" xfId="0" applyFill="1" applyAlignment="1">
      <alignment wrapText="1"/>
    </xf>
    <xf numFmtId="0" fontId="9" fillId="0" borderId="0" xfId="0" applyFont="1"/>
    <xf numFmtId="0" fontId="9" fillId="0" borderId="2"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8" xfId="0" applyFont="1" applyBorder="1" applyAlignment="1">
      <alignment vertical="top" wrapText="1"/>
    </xf>
    <xf numFmtId="0" fontId="9" fillId="0" borderId="9" xfId="0" applyFont="1" applyBorder="1" applyAlignment="1">
      <alignment vertical="top" wrapText="1"/>
    </xf>
    <xf numFmtId="17" fontId="9" fillId="0" borderId="3" xfId="0" quotePrefix="1" applyNumberFormat="1" applyFont="1" applyBorder="1" applyAlignment="1">
      <alignment vertical="top" wrapText="1"/>
    </xf>
    <xf numFmtId="0" fontId="7" fillId="0" borderId="0" xfId="0" applyFont="1"/>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9" fillId="0" borderId="5" xfId="0" applyFont="1" applyBorder="1" applyAlignment="1">
      <alignment vertical="top" wrapText="1"/>
    </xf>
    <xf numFmtId="0" fontId="9" fillId="0" borderId="11" xfId="0" applyFont="1" applyBorder="1" applyAlignment="1">
      <alignment vertical="top" wrapText="1"/>
    </xf>
    <xf numFmtId="0" fontId="9" fillId="0" borderId="6" xfId="0" applyFont="1" applyBorder="1" applyAlignment="1">
      <alignment vertical="top" wrapText="1"/>
    </xf>
    <xf numFmtId="0" fontId="10" fillId="0" borderId="12"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10" fillId="3" borderId="15" xfId="0" applyFont="1" applyFill="1" applyBorder="1" applyAlignment="1">
      <alignment vertical="top" wrapText="1"/>
    </xf>
    <xf numFmtId="0" fontId="10" fillId="3" borderId="16" xfId="0" applyFont="1" applyFill="1" applyBorder="1" applyAlignment="1">
      <alignment vertical="top" wrapText="1"/>
    </xf>
    <xf numFmtId="0" fontId="10" fillId="3" borderId="3" xfId="0" applyFont="1" applyFill="1" applyBorder="1" applyAlignment="1">
      <alignment vertical="top" wrapText="1"/>
    </xf>
    <xf numFmtId="0" fontId="10" fillId="3" borderId="4" xfId="0" applyFont="1" applyFill="1" applyBorder="1" applyAlignment="1">
      <alignment vertical="top" wrapText="1"/>
    </xf>
    <xf numFmtId="0" fontId="5" fillId="0" borderId="17" xfId="0" applyFont="1" applyBorder="1" applyAlignment="1">
      <alignment vertical="top" wrapText="1"/>
    </xf>
    <xf numFmtId="0" fontId="16" fillId="0" borderId="0" xfId="0" applyFont="1"/>
    <xf numFmtId="0" fontId="0" fillId="0" borderId="0" xfId="0" applyAlignment="1">
      <alignment horizontal="center"/>
    </xf>
    <xf numFmtId="165" fontId="0" fillId="0" borderId="0" xfId="0" applyNumberFormat="1"/>
    <xf numFmtId="0" fontId="6" fillId="0" borderId="0" xfId="3" applyAlignment="1" applyProtection="1"/>
    <xf numFmtId="0" fontId="5" fillId="0" borderId="9" xfId="0" quotePrefix="1" applyFont="1" applyBorder="1" applyAlignment="1">
      <alignment vertical="top" wrapText="1"/>
    </xf>
    <xf numFmtId="0" fontId="5" fillId="0" borderId="6" xfId="0" applyFont="1" applyFill="1" applyBorder="1" applyAlignment="1">
      <alignment vertical="top" wrapText="1"/>
    </xf>
    <xf numFmtId="0" fontId="5" fillId="0" borderId="0" xfId="0" applyFont="1" applyFill="1" applyBorder="1" applyAlignment="1">
      <alignment vertical="top" wrapText="1"/>
    </xf>
    <xf numFmtId="0" fontId="5" fillId="2" borderId="18" xfId="0" applyFont="1" applyFill="1" applyBorder="1" applyAlignment="1">
      <alignment vertical="top" wrapText="1"/>
    </xf>
    <xf numFmtId="0" fontId="5" fillId="2" borderId="19" xfId="0" applyFont="1" applyFill="1" applyBorder="1" applyAlignment="1">
      <alignment vertical="top" wrapText="1"/>
    </xf>
    <xf numFmtId="0" fontId="18" fillId="0" borderId="7" xfId="0" applyFont="1" applyBorder="1" applyAlignment="1">
      <alignment vertical="top" wrapText="1"/>
    </xf>
    <xf numFmtId="0" fontId="10" fillId="2" borderId="15" xfId="0" applyFont="1" applyFill="1" applyBorder="1" applyAlignment="1">
      <alignment vertical="top" wrapText="1"/>
    </xf>
    <xf numFmtId="0" fontId="10" fillId="2" borderId="16" xfId="0" applyFont="1" applyFill="1" applyBorder="1" applyAlignment="1">
      <alignment vertical="top" wrapText="1"/>
    </xf>
    <xf numFmtId="0" fontId="10" fillId="2" borderId="20" xfId="0" applyFont="1" applyFill="1" applyBorder="1" applyAlignment="1">
      <alignment vertical="top" wrapText="1"/>
    </xf>
    <xf numFmtId="0" fontId="10" fillId="2" borderId="21" xfId="0" applyFont="1" applyFill="1" applyBorder="1" applyAlignment="1">
      <alignment vertical="top" wrapText="1"/>
    </xf>
    <xf numFmtId="0" fontId="0" fillId="2" borderId="22" xfId="0" applyFill="1" applyBorder="1"/>
    <xf numFmtId="0" fontId="0" fillId="2" borderId="22" xfId="0" quotePrefix="1" applyFill="1" applyBorder="1"/>
    <xf numFmtId="0" fontId="0" fillId="0" borderId="22" xfId="0" applyBorder="1"/>
    <xf numFmtId="0" fontId="0" fillId="2" borderId="23" xfId="0" applyFill="1" applyBorder="1"/>
    <xf numFmtId="0" fontId="0" fillId="2" borderId="24" xfId="0" applyFill="1" applyBorder="1"/>
    <xf numFmtId="0" fontId="0" fillId="2" borderId="16" xfId="0" applyFill="1" applyBorder="1"/>
    <xf numFmtId="0" fontId="0" fillId="2" borderId="25" xfId="0" applyFill="1" applyBorder="1"/>
    <xf numFmtId="0" fontId="0" fillId="2" borderId="10" xfId="0" applyFill="1" applyBorder="1"/>
    <xf numFmtId="0" fontId="0" fillId="2" borderId="9" xfId="0" applyFill="1" applyBorder="1"/>
    <xf numFmtId="0" fontId="0" fillId="2" borderId="26" xfId="0" applyFill="1" applyBorder="1"/>
    <xf numFmtId="0" fontId="0" fillId="2" borderId="27" xfId="0" applyFill="1" applyBorder="1"/>
    <xf numFmtId="0" fontId="0" fillId="2" borderId="0" xfId="0" applyFill="1" applyBorder="1"/>
    <xf numFmtId="0" fontId="0" fillId="2" borderId="0" xfId="0" quotePrefix="1" applyFill="1" applyBorder="1"/>
    <xf numFmtId="0" fontId="0" fillId="2" borderId="6" xfId="0" quotePrefix="1" applyFill="1" applyBorder="1"/>
    <xf numFmtId="0" fontId="0" fillId="2" borderId="6" xfId="0" applyFill="1" applyBorder="1"/>
    <xf numFmtId="0" fontId="0" fillId="0" borderId="0" xfId="0" applyBorder="1"/>
    <xf numFmtId="0" fontId="0" fillId="0" borderId="6" xfId="0" applyBorder="1"/>
    <xf numFmtId="0" fontId="0" fillId="0" borderId="10" xfId="0" applyBorder="1"/>
    <xf numFmtId="0" fontId="0" fillId="0" borderId="28" xfId="0" applyBorder="1"/>
    <xf numFmtId="0" fontId="0" fillId="0" borderId="9" xfId="0" applyBorder="1"/>
    <xf numFmtId="0" fontId="0" fillId="0" borderId="27" xfId="0" applyBorder="1"/>
    <xf numFmtId="0" fontId="0" fillId="0" borderId="25" xfId="0" applyBorder="1"/>
    <xf numFmtId="0" fontId="0" fillId="2" borderId="0" xfId="0" applyFill="1" applyBorder="1" applyAlignment="1">
      <alignment horizontal="center"/>
    </xf>
    <xf numFmtId="0" fontId="0" fillId="2" borderId="6" xfId="0" applyFill="1" applyBorder="1" applyAlignment="1">
      <alignment horizontal="center"/>
    </xf>
    <xf numFmtId="0" fontId="0" fillId="3" borderId="23" xfId="0" applyFill="1" applyBorder="1"/>
    <xf numFmtId="0" fontId="0" fillId="3" borderId="24" xfId="0" applyFill="1" applyBorder="1"/>
    <xf numFmtId="0" fontId="0" fillId="3" borderId="24" xfId="0" applyFill="1" applyBorder="1" applyAlignment="1">
      <alignment wrapText="1"/>
    </xf>
    <xf numFmtId="0" fontId="0" fillId="3" borderId="16" xfId="0" applyFill="1" applyBorder="1" applyAlignment="1">
      <alignment wrapText="1"/>
    </xf>
    <xf numFmtId="0" fontId="0" fillId="3" borderId="27" xfId="0" applyFill="1" applyBorder="1"/>
    <xf numFmtId="0" fontId="0" fillId="3" borderId="0" xfId="0" applyFill="1" applyBorder="1"/>
    <xf numFmtId="0" fontId="0" fillId="3" borderId="0" xfId="0" applyFill="1" applyBorder="1" applyAlignment="1">
      <alignment wrapText="1"/>
    </xf>
    <xf numFmtId="0" fontId="0" fillId="3" borderId="6" xfId="0" applyFill="1" applyBorder="1" applyAlignment="1">
      <alignment wrapText="1"/>
    </xf>
    <xf numFmtId="0" fontId="0" fillId="0" borderId="0" xfId="0"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0" fillId="2" borderId="24" xfId="0" applyFill="1" applyBorder="1" applyAlignment="1">
      <alignment wrapText="1"/>
    </xf>
    <xf numFmtId="0" fontId="0" fillId="2" borderId="16" xfId="0" applyFill="1" applyBorder="1" applyAlignment="1">
      <alignment horizontal="center"/>
    </xf>
    <xf numFmtId="3" fontId="0" fillId="0" borderId="0" xfId="0" applyNumberFormat="1" applyBorder="1"/>
    <xf numFmtId="0" fontId="0" fillId="2" borderId="16" xfId="0" applyFill="1" applyBorder="1" applyAlignment="1">
      <alignment wrapText="1"/>
    </xf>
    <xf numFmtId="3" fontId="0" fillId="0" borderId="10" xfId="0" applyNumberFormat="1" applyBorder="1"/>
    <xf numFmtId="0" fontId="7" fillId="2" borderId="15" xfId="0" applyFont="1" applyFill="1" applyBorder="1" applyAlignment="1">
      <alignment vertical="top" wrapText="1"/>
    </xf>
    <xf numFmtId="0" fontId="7" fillId="2" borderId="16" xfId="0" applyFont="1" applyFill="1" applyBorder="1" applyAlignment="1">
      <alignment vertical="top" wrapTex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0" fillId="0" borderId="24" xfId="0" applyBorder="1"/>
    <xf numFmtId="165" fontId="0" fillId="2" borderId="24" xfId="0" applyNumberFormat="1" applyFill="1" applyBorder="1" applyAlignment="1">
      <alignment wrapText="1"/>
    </xf>
    <xf numFmtId="0" fontId="0" fillId="0" borderId="0" xfId="0" quotePrefix="1" applyBorder="1"/>
    <xf numFmtId="165" fontId="0" fillId="0" borderId="0" xfId="0" applyNumberFormat="1" applyBorder="1"/>
    <xf numFmtId="165" fontId="0" fillId="0" borderId="0" xfId="0" quotePrefix="1" applyNumberFormat="1" applyBorder="1"/>
    <xf numFmtId="0" fontId="0" fillId="0" borderId="0" xfId="0" applyNumberFormat="1" applyBorder="1"/>
    <xf numFmtId="165" fontId="0" fillId="0" borderId="10" xfId="0" applyNumberFormat="1" applyBorder="1"/>
    <xf numFmtId="0" fontId="0" fillId="0" borderId="23" xfId="0" applyBorder="1"/>
    <xf numFmtId="0" fontId="0" fillId="0" borderId="16" xfId="0" applyBorder="1"/>
    <xf numFmtId="0" fontId="0" fillId="2" borderId="29" xfId="0" applyFill="1" applyBorder="1"/>
    <xf numFmtId="0" fontId="0" fillId="2" borderId="30" xfId="0" applyFill="1" applyBorder="1"/>
    <xf numFmtId="0" fontId="0" fillId="2" borderId="18" xfId="0" applyFill="1" applyBorder="1"/>
    <xf numFmtId="3" fontId="0" fillId="0" borderId="16" xfId="0" applyNumberFormat="1" applyBorder="1"/>
    <xf numFmtId="3" fontId="0" fillId="0" borderId="6" xfId="0" applyNumberFormat="1" applyBorder="1"/>
    <xf numFmtId="3" fontId="0" fillId="0" borderId="31" xfId="0" applyNumberFormat="1" applyBorder="1"/>
    <xf numFmtId="3" fontId="0" fillId="0" borderId="9" xfId="0" applyNumberFormat="1" applyBorder="1"/>
    <xf numFmtId="0" fontId="5" fillId="2" borderId="15" xfId="0" applyFont="1" applyFill="1" applyBorder="1" applyAlignment="1">
      <alignment vertical="top" wrapText="1"/>
    </xf>
    <xf numFmtId="0" fontId="5" fillId="2" borderId="20" xfId="0" applyFont="1" applyFill="1" applyBorder="1" applyAlignment="1">
      <alignment vertical="top" wrapText="1"/>
    </xf>
    <xf numFmtId="0" fontId="0" fillId="0" borderId="0" xfId="0" applyBorder="1" applyAlignment="1">
      <alignment wrapText="1"/>
    </xf>
    <xf numFmtId="0" fontId="0" fillId="0" borderId="27" xfId="0" applyBorder="1" applyAlignment="1">
      <alignment wrapText="1"/>
    </xf>
    <xf numFmtId="0" fontId="0" fillId="0" borderId="25" xfId="0" applyBorder="1" applyAlignment="1">
      <alignment wrapText="1"/>
    </xf>
    <xf numFmtId="0" fontId="0" fillId="0" borderId="10" xfId="0" quotePrefix="1" applyBorder="1"/>
    <xf numFmtId="0" fontId="19" fillId="0" borderId="0" xfId="0" applyFont="1"/>
    <xf numFmtId="0" fontId="20" fillId="0" borderId="0" xfId="0" applyFont="1"/>
    <xf numFmtId="0" fontId="0" fillId="0" borderId="35" xfId="0" applyBorder="1"/>
    <xf numFmtId="0" fontId="21" fillId="0" borderId="35" xfId="0" applyFont="1" applyBorder="1" applyAlignment="1">
      <alignment textRotation="90" wrapText="1"/>
    </xf>
    <xf numFmtId="0" fontId="22" fillId="0" borderId="35" xfId="0" applyFont="1" applyFill="1" applyBorder="1" applyAlignment="1" applyProtection="1">
      <alignment horizontal="center" vertical="center" textRotation="90" wrapText="1"/>
    </xf>
    <xf numFmtId="0" fontId="0" fillId="0" borderId="35" xfId="0" applyBorder="1" applyAlignment="1">
      <alignment horizontal="center"/>
    </xf>
    <xf numFmtId="0" fontId="23" fillId="0" borderId="35" xfId="12" applyFont="1" applyFill="1" applyBorder="1" applyAlignment="1">
      <alignment horizontal="left" wrapText="1"/>
    </xf>
    <xf numFmtId="0" fontId="0" fillId="0" borderId="35" xfId="0" applyBorder="1" applyAlignment="1" applyProtection="1"/>
    <xf numFmtId="0" fontId="0" fillId="0" borderId="35" xfId="0" applyBorder="1" applyProtection="1"/>
    <xf numFmtId="0" fontId="23" fillId="0" borderId="35" xfId="11" applyFont="1" applyFill="1" applyBorder="1" applyAlignment="1" applyProtection="1">
      <alignment horizontal="right" wrapText="1"/>
    </xf>
    <xf numFmtId="0" fontId="21" fillId="0" borderId="35" xfId="0" applyFont="1" applyBorder="1" applyAlignment="1" applyProtection="1">
      <alignment horizontal="center"/>
    </xf>
    <xf numFmtId="10" fontId="0" fillId="0" borderId="35" xfId="0" applyNumberFormat="1" applyBorder="1"/>
    <xf numFmtId="0" fontId="23" fillId="0" borderId="35" xfId="11" applyFont="1" applyFill="1" applyBorder="1" applyAlignment="1" applyProtection="1">
      <alignment horizontal="left"/>
    </xf>
    <xf numFmtId="0" fontId="23" fillId="0" borderId="35" xfId="11" applyFont="1" applyFill="1" applyBorder="1" applyAlignment="1" applyProtection="1">
      <alignment horizontal="right"/>
    </xf>
    <xf numFmtId="0" fontId="0" fillId="0" borderId="35" xfId="0" applyFill="1" applyBorder="1" applyProtection="1"/>
    <xf numFmtId="0" fontId="23" fillId="0" borderId="35" xfId="11" applyFont="1" applyFill="1" applyBorder="1" applyAlignment="1" applyProtection="1">
      <alignment horizontal="center"/>
    </xf>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25" fillId="0" borderId="43" xfId="0" applyFont="1" applyBorder="1" applyAlignment="1">
      <alignment textRotation="90" wrapText="1"/>
    </xf>
    <xf numFmtId="0" fontId="0" fillId="0" borderId="43" xfId="0" applyBorder="1"/>
    <xf numFmtId="0" fontId="25" fillId="0" borderId="0" xfId="0" applyFont="1" applyBorder="1" applyAlignment="1">
      <alignment textRotation="90" wrapText="1"/>
    </xf>
    <xf numFmtId="0" fontId="26" fillId="0" borderId="1" xfId="13" applyFont="1" applyFill="1" applyBorder="1" applyAlignment="1">
      <alignment wrapText="1"/>
    </xf>
    <xf numFmtId="0" fontId="26" fillId="0" borderId="1" xfId="13" applyFont="1" applyFill="1" applyBorder="1" applyAlignment="1">
      <alignment horizontal="right" wrapText="1"/>
    </xf>
    <xf numFmtId="0" fontId="26" fillId="0" borderId="1" xfId="12" applyFont="1" applyFill="1" applyBorder="1" applyAlignment="1">
      <alignment horizontal="left" wrapText="1"/>
    </xf>
    <xf numFmtId="0" fontId="0" fillId="0" borderId="1" xfId="0" applyBorder="1"/>
    <xf numFmtId="0" fontId="26" fillId="0" borderId="44" xfId="13" applyFont="1" applyFill="1" applyBorder="1" applyAlignment="1">
      <alignment horizontal="right" wrapText="1"/>
    </xf>
    <xf numFmtId="0" fontId="26" fillId="0" borderId="45" xfId="13" applyFont="1" applyFill="1" applyBorder="1" applyAlignment="1">
      <alignment wrapText="1"/>
    </xf>
    <xf numFmtId="0" fontId="26" fillId="0" borderId="0" xfId="13" applyFont="1" applyFill="1" applyBorder="1" applyAlignment="1">
      <alignment horizontal="right" wrapText="1"/>
    </xf>
    <xf numFmtId="0" fontId="26" fillId="0" borderId="46" xfId="13" applyFont="1" applyFill="1" applyBorder="1" applyAlignment="1">
      <alignment horizontal="right" wrapText="1"/>
    </xf>
    <xf numFmtId="0" fontId="26" fillId="0" borderId="47" xfId="13" applyFont="1" applyFill="1" applyBorder="1" applyAlignment="1">
      <alignment horizontal="right" wrapText="1"/>
    </xf>
    <xf numFmtId="0" fontId="26" fillId="0" borderId="0" xfId="11" applyFont="1" applyFill="1" applyBorder="1" applyAlignment="1" applyProtection="1">
      <alignment horizontal="right" wrapText="1"/>
    </xf>
    <xf numFmtId="0" fontId="26" fillId="0" borderId="0" xfId="11" applyFont="1" applyFill="1" applyBorder="1" applyAlignment="1" applyProtection="1">
      <alignment horizontal="right"/>
    </xf>
    <xf numFmtId="0" fontId="0" fillId="0" borderId="24" xfId="0" applyBorder="1" applyAlignment="1">
      <alignment horizontal="left"/>
    </xf>
    <xf numFmtId="0" fontId="20" fillId="0" borderId="24" xfId="0" applyFont="1" applyBorder="1" applyAlignment="1">
      <alignment horizontal="centerContinuous"/>
    </xf>
    <xf numFmtId="0" fontId="27" fillId="0" borderId="24" xfId="0" applyFont="1" applyBorder="1" applyAlignment="1">
      <alignment horizontal="centerContinuous"/>
    </xf>
    <xf numFmtId="0" fontId="27" fillId="0" borderId="16" xfId="0" applyFont="1" applyBorder="1" applyAlignment="1">
      <alignment horizontal="centerContinuous"/>
    </xf>
    <xf numFmtId="0" fontId="25" fillId="0" borderId="10" xfId="0" applyFont="1" applyBorder="1" applyAlignment="1">
      <alignment horizontal="left"/>
    </xf>
    <xf numFmtId="0" fontId="27" fillId="0" borderId="10" xfId="0" applyFont="1" applyBorder="1" applyAlignment="1">
      <alignment horizontal="center" wrapText="1"/>
    </xf>
    <xf numFmtId="0" fontId="27" fillId="0" borderId="9" xfId="0" applyFont="1" applyBorder="1" applyAlignment="1">
      <alignment horizontal="center" wrapText="1"/>
    </xf>
    <xf numFmtId="0" fontId="25" fillId="0" borderId="24" xfId="0" applyFont="1" applyBorder="1" applyAlignment="1">
      <alignment horizontal="left"/>
    </xf>
    <xf numFmtId="166" fontId="27" fillId="0" borderId="23" xfId="0" applyNumberFormat="1" applyFont="1" applyBorder="1" applyAlignment="1">
      <alignment horizontal="center" wrapText="1"/>
    </xf>
    <xf numFmtId="166" fontId="27" fillId="0" borderId="24" xfId="0" applyNumberFormat="1" applyFont="1" applyBorder="1" applyAlignment="1">
      <alignment horizontal="center" wrapText="1"/>
    </xf>
    <xf numFmtId="166" fontId="27" fillId="0" borderId="16" xfId="0" applyNumberFormat="1" applyFont="1" applyBorder="1" applyAlignment="1">
      <alignment horizontal="center" wrapText="1"/>
    </xf>
    <xf numFmtId="0" fontId="20" fillId="0" borderId="27" xfId="0" applyFont="1" applyBorder="1"/>
    <xf numFmtId="0" fontId="0" fillId="0" borderId="0" xfId="0" applyBorder="1" applyAlignment="1">
      <alignment horizontal="left"/>
    </xf>
    <xf numFmtId="166" fontId="0" fillId="0" borderId="27" xfId="0" applyNumberFormat="1" applyBorder="1" applyAlignment="1">
      <alignment horizontal="center"/>
    </xf>
    <xf numFmtId="166" fontId="0" fillId="0" borderId="0" xfId="0" applyNumberFormat="1" applyBorder="1" applyAlignment="1">
      <alignment horizontal="center"/>
    </xf>
    <xf numFmtId="166" fontId="0" fillId="0" borderId="6" xfId="0" applyNumberFormat="1" applyBorder="1" applyAlignment="1">
      <alignment horizontal="center"/>
    </xf>
    <xf numFmtId="0" fontId="25" fillId="0" borderId="0" xfId="0" applyFont="1" applyBorder="1" applyAlignment="1">
      <alignment horizontal="left"/>
    </xf>
    <xf numFmtId="0" fontId="21" fillId="0" borderId="27" xfId="0" applyFont="1" applyBorder="1"/>
    <xf numFmtId="0" fontId="0" fillId="0" borderId="48" xfId="0" applyBorder="1"/>
    <xf numFmtId="0" fontId="0" fillId="0" borderId="38" xfId="0" applyBorder="1" applyAlignment="1">
      <alignment horizontal="left"/>
    </xf>
    <xf numFmtId="166" fontId="0" fillId="0" borderId="48" xfId="0" applyNumberFormat="1" applyBorder="1" applyAlignment="1">
      <alignment horizontal="center"/>
    </xf>
    <xf numFmtId="166" fontId="0" fillId="0" borderId="38" xfId="0" applyNumberFormat="1" applyBorder="1" applyAlignment="1">
      <alignment horizontal="center"/>
    </xf>
    <xf numFmtId="166" fontId="0" fillId="0" borderId="31" xfId="0" applyNumberFormat="1" applyBorder="1" applyAlignment="1">
      <alignment horizontal="center"/>
    </xf>
    <xf numFmtId="167" fontId="0" fillId="0" borderId="0" xfId="0" applyNumberFormat="1" applyBorder="1" applyAlignment="1">
      <alignment horizontal="center"/>
    </xf>
    <xf numFmtId="0" fontId="21" fillId="0" borderId="48" xfId="0" applyFont="1" applyBorder="1"/>
    <xf numFmtId="0" fontId="0" fillId="0" borderId="10" xfId="0" applyBorder="1" applyAlignment="1">
      <alignment horizontal="left"/>
    </xf>
    <xf numFmtId="166" fontId="0" fillId="0" borderId="25" xfId="0" applyNumberFormat="1" applyBorder="1" applyAlignment="1">
      <alignment horizontal="center"/>
    </xf>
    <xf numFmtId="166" fontId="0" fillId="0" borderId="10" xfId="0" applyNumberFormat="1" applyBorder="1" applyAlignment="1">
      <alignment horizontal="center"/>
    </xf>
    <xf numFmtId="166" fontId="0" fillId="0" borderId="9" xfId="0" applyNumberFormat="1" applyBorder="1" applyAlignment="1">
      <alignment horizontal="center"/>
    </xf>
    <xf numFmtId="166" fontId="0" fillId="0" borderId="24" xfId="0" applyNumberFormat="1" applyBorder="1" applyAlignment="1">
      <alignment horizontal="center"/>
    </xf>
    <xf numFmtId="166" fontId="0" fillId="0" borderId="16" xfId="0" applyNumberFormat="1" applyBorder="1" applyAlignment="1">
      <alignment horizontal="center"/>
    </xf>
    <xf numFmtId="0" fontId="27" fillId="0" borderId="0" xfId="0" applyFont="1" applyBorder="1" applyAlignment="1">
      <alignment horizontal="left"/>
    </xf>
    <xf numFmtId="0" fontId="0" fillId="0" borderId="31" xfId="0" applyBorder="1"/>
    <xf numFmtId="0" fontId="27" fillId="0" borderId="6" xfId="0" applyFont="1" applyBorder="1"/>
    <xf numFmtId="166" fontId="0" fillId="0" borderId="23" xfId="0" applyNumberFormat="1" applyBorder="1" applyAlignment="1">
      <alignment horizontal="center"/>
    </xf>
    <xf numFmtId="0" fontId="24" fillId="0" borderId="0" xfId="0" applyFont="1" applyBorder="1" applyAlignment="1">
      <alignment horizontal="left"/>
    </xf>
    <xf numFmtId="3" fontId="25" fillId="0" borderId="0" xfId="0" applyNumberFormat="1" applyFont="1" applyBorder="1" applyAlignment="1">
      <alignment horizontal="center"/>
    </xf>
    <xf numFmtId="166" fontId="25" fillId="0" borderId="27" xfId="0" applyNumberFormat="1" applyFont="1" applyBorder="1" applyAlignment="1">
      <alignment horizontal="center"/>
    </xf>
    <xf numFmtId="166" fontId="25" fillId="0" borderId="0" xfId="0" applyNumberFormat="1" applyFont="1" applyBorder="1" applyAlignment="1">
      <alignment horizontal="center"/>
    </xf>
    <xf numFmtId="166" fontId="25" fillId="0" borderId="6" xfId="0" applyNumberFormat="1" applyFont="1" applyBorder="1" applyAlignment="1">
      <alignment horizontal="center"/>
    </xf>
    <xf numFmtId="0" fontId="20" fillId="0" borderId="48" xfId="0" applyFont="1" applyBorder="1"/>
    <xf numFmtId="0" fontId="21" fillId="0" borderId="38" xfId="0" quotePrefix="1" applyFont="1" applyBorder="1"/>
    <xf numFmtId="0" fontId="21" fillId="0" borderId="31" xfId="0" applyFont="1" applyBorder="1"/>
    <xf numFmtId="0" fontId="21" fillId="0" borderId="0" xfId="0" quotePrefix="1" applyFont="1" applyBorder="1"/>
    <xf numFmtId="0" fontId="21" fillId="0" borderId="6" xfId="0" applyFont="1" applyBorder="1"/>
    <xf numFmtId="0" fontId="25" fillId="0" borderId="0" xfId="0" applyFont="1" applyBorder="1"/>
    <xf numFmtId="0" fontId="21" fillId="0" borderId="10" xfId="0" quotePrefix="1" applyFont="1" applyBorder="1"/>
    <xf numFmtId="0" fontId="21" fillId="0" borderId="9" xfId="0" applyFont="1" applyBorder="1"/>
    <xf numFmtId="0" fontId="21" fillId="0" borderId="0" xfId="0" quotePrefix="1" applyFont="1" applyBorder="1" applyAlignment="1">
      <alignment horizontal="left"/>
    </xf>
    <xf numFmtId="0" fontId="21" fillId="0" borderId="0" xfId="0" applyFont="1" applyBorder="1"/>
    <xf numFmtId="0" fontId="0" fillId="0" borderId="0" xfId="0" applyAlignment="1">
      <alignment horizontal="left"/>
    </xf>
    <xf numFmtId="0" fontId="25" fillId="0" borderId="0" xfId="0" applyFont="1" applyBorder="1" applyAlignment="1">
      <alignment horizontal="left" vertical="top"/>
    </xf>
    <xf numFmtId="0" fontId="0" fillId="0" borderId="0" xfId="0" applyBorder="1" applyAlignment="1"/>
    <xf numFmtId="0" fontId="25" fillId="0" borderId="0" xfId="0" applyFont="1"/>
    <xf numFmtId="0" fontId="25" fillId="0" borderId="0" xfId="0" applyFont="1" applyAlignment="1">
      <alignment horizontal="left"/>
    </xf>
    <xf numFmtId="0" fontId="68" fillId="17" borderId="104" xfId="0" applyFont="1" applyFill="1" applyBorder="1" applyAlignment="1">
      <alignment horizontal="center" vertical="center" wrapText="1"/>
    </xf>
    <xf numFmtId="0" fontId="6" fillId="17" borderId="105" xfId="3" applyFill="1" applyBorder="1" applyAlignment="1" applyProtection="1">
      <alignment horizontal="center" vertical="center" wrapText="1"/>
    </xf>
    <xf numFmtId="0" fontId="69" fillId="18" borderId="106" xfId="0" applyFont="1" applyFill="1" applyBorder="1" applyAlignment="1">
      <alignment horizontal="center" vertical="center" wrapText="1"/>
    </xf>
    <xf numFmtId="0" fontId="70" fillId="18" borderId="106" xfId="0" applyFont="1" applyFill="1" applyBorder="1" applyAlignment="1">
      <alignment vertical="center" wrapText="1"/>
    </xf>
    <xf numFmtId="0" fontId="6" fillId="18" borderId="106" xfId="3" applyFill="1" applyBorder="1" applyAlignment="1" applyProtection="1">
      <alignment vertical="center" wrapText="1"/>
    </xf>
    <xf numFmtId="0" fontId="69" fillId="18" borderId="106" xfId="0" applyFont="1" applyFill="1" applyBorder="1" applyAlignment="1">
      <alignment vertical="center" wrapText="1"/>
    </xf>
    <xf numFmtId="0" fontId="34" fillId="0" borderId="35" xfId="10" applyFont="1" applyFill="1" applyBorder="1" applyProtection="1"/>
    <xf numFmtId="0" fontId="34" fillId="0" borderId="35" xfId="10" applyFont="1" applyBorder="1" applyProtection="1"/>
    <xf numFmtId="0" fontId="34" fillId="6" borderId="35" xfId="10" applyFont="1" applyFill="1" applyBorder="1" applyProtection="1"/>
    <xf numFmtId="0" fontId="34" fillId="0" borderId="35" xfId="10" applyFont="1" applyBorder="1" applyAlignment="1" applyProtection="1"/>
    <xf numFmtId="0" fontId="34" fillId="0" borderId="35" xfId="10" applyFont="1" applyFill="1" applyBorder="1" applyAlignment="1" applyProtection="1">
      <alignment wrapText="1"/>
    </xf>
    <xf numFmtId="0" fontId="34" fillId="0" borderId="35" xfId="10" applyFont="1" applyBorder="1" applyAlignment="1" applyProtection="1">
      <alignment wrapText="1"/>
    </xf>
    <xf numFmtId="3" fontId="34" fillId="0" borderId="35" xfId="10" applyNumberFormat="1" applyFont="1" applyBorder="1" applyAlignment="1" applyProtection="1">
      <alignment wrapText="1"/>
    </xf>
    <xf numFmtId="0" fontId="34" fillId="4" borderId="49" xfId="10" applyFont="1" applyFill="1" applyBorder="1" applyAlignment="1" applyProtection="1">
      <alignment horizontal="center" vertical="center" wrapText="1"/>
    </xf>
    <xf numFmtId="0" fontId="34" fillId="4" borderId="50" xfId="10" applyFont="1" applyFill="1" applyBorder="1" applyAlignment="1" applyProtection="1">
      <alignment horizontal="center" vertical="center" wrapText="1"/>
    </xf>
    <xf numFmtId="0" fontId="34" fillId="4" borderId="28" xfId="10" applyFont="1" applyFill="1" applyBorder="1" applyAlignment="1" applyProtection="1">
      <alignment horizontal="center" vertical="center" wrapText="1"/>
    </xf>
    <xf numFmtId="0" fontId="34" fillId="4" borderId="51" xfId="10" applyFont="1" applyFill="1" applyBorder="1" applyAlignment="1" applyProtection="1">
      <alignment horizontal="center" vertical="center" wrapText="1"/>
    </xf>
    <xf numFmtId="0" fontId="21" fillId="0" borderId="0" xfId="5"/>
    <xf numFmtId="0" fontId="21" fillId="7" borderId="0" xfId="5" applyFill="1"/>
    <xf numFmtId="0" fontId="21" fillId="5" borderId="0" xfId="5" applyFill="1" applyBorder="1"/>
    <xf numFmtId="0" fontId="33" fillId="5" borderId="41" xfId="5" applyFont="1" applyFill="1" applyBorder="1"/>
    <xf numFmtId="3" fontId="21" fillId="5" borderId="0" xfId="5" applyNumberFormat="1" applyFill="1" applyBorder="1"/>
    <xf numFmtId="171" fontId="21" fillId="5" borderId="0" xfId="5" applyNumberFormat="1" applyFill="1" applyBorder="1"/>
    <xf numFmtId="173" fontId="21" fillId="5" borderId="0" xfId="5" applyNumberFormat="1" applyFont="1" applyFill="1" applyBorder="1"/>
    <xf numFmtId="0" fontId="21" fillId="5" borderId="36" xfId="5" applyFill="1" applyBorder="1"/>
    <xf numFmtId="0" fontId="21" fillId="5" borderId="22" xfId="5" applyFill="1" applyBorder="1"/>
    <xf numFmtId="1" fontId="21" fillId="5" borderId="0" xfId="5" applyNumberFormat="1" applyFill="1" applyBorder="1"/>
    <xf numFmtId="0" fontId="21" fillId="5" borderId="37" xfId="5" applyFill="1" applyBorder="1"/>
    <xf numFmtId="0" fontId="21" fillId="5" borderId="38" xfId="5" applyFill="1" applyBorder="1"/>
    <xf numFmtId="0" fontId="21" fillId="5" borderId="39" xfId="5" applyFill="1" applyBorder="1"/>
    <xf numFmtId="172" fontId="21" fillId="5" borderId="0" xfId="5" applyNumberFormat="1" applyFill="1" applyBorder="1"/>
    <xf numFmtId="0" fontId="36" fillId="5" borderId="0" xfId="0" applyFont="1" applyFill="1"/>
    <xf numFmtId="0" fontId="36" fillId="5" borderId="0" xfId="0" applyFont="1" applyFill="1" applyAlignment="1">
      <alignment horizontal="center"/>
    </xf>
    <xf numFmtId="0" fontId="36" fillId="0" borderId="0" xfId="0" applyFont="1"/>
    <xf numFmtId="0" fontId="36" fillId="5" borderId="0" xfId="0" applyFont="1" applyFill="1" applyAlignment="1">
      <alignment horizontal="center" vertical="center"/>
    </xf>
    <xf numFmtId="0" fontId="38" fillId="5" borderId="0" xfId="0" applyFont="1" applyFill="1" applyAlignment="1">
      <alignment horizontal="center" vertical="center"/>
    </xf>
    <xf numFmtId="0" fontId="36" fillId="5" borderId="0" xfId="0" applyFont="1" applyFill="1" applyAlignment="1">
      <alignment horizontal="left" wrapText="1"/>
    </xf>
    <xf numFmtId="0" fontId="40" fillId="8" borderId="52" xfId="0" applyFont="1" applyFill="1" applyBorder="1" applyAlignment="1">
      <alignment horizontal="center" vertical="center"/>
    </xf>
    <xf numFmtId="0" fontId="40" fillId="8" borderId="53" xfId="0" applyFont="1" applyFill="1" applyBorder="1" applyAlignment="1">
      <alignment horizontal="center" vertical="center"/>
    </xf>
    <xf numFmtId="0" fontId="36" fillId="5" borderId="54" xfId="0" applyFont="1" applyFill="1" applyBorder="1" applyAlignment="1">
      <alignment horizontal="center"/>
    </xf>
    <xf numFmtId="0" fontId="36" fillId="5" borderId="55" xfId="0" applyFont="1" applyFill="1" applyBorder="1" applyAlignment="1">
      <alignment horizontal="center"/>
    </xf>
    <xf numFmtId="0" fontId="38" fillId="5" borderId="0" xfId="0" applyFont="1" applyFill="1"/>
    <xf numFmtId="0" fontId="36" fillId="5" borderId="56" xfId="0" applyFont="1" applyFill="1" applyBorder="1" applyAlignment="1">
      <alignment horizontal="center"/>
    </xf>
    <xf numFmtId="0" fontId="36" fillId="5" borderId="57" xfId="0" applyFont="1" applyFill="1" applyBorder="1" applyAlignment="1">
      <alignment horizontal="center"/>
    </xf>
    <xf numFmtId="0" fontId="38" fillId="5" borderId="0" xfId="0" applyFont="1" applyFill="1" applyAlignment="1">
      <alignment horizontal="center"/>
    </xf>
    <xf numFmtId="0" fontId="36" fillId="5" borderId="0" xfId="0" applyFont="1" applyFill="1" applyAlignment="1">
      <alignment vertical="center"/>
    </xf>
    <xf numFmtId="0" fontId="42" fillId="9" borderId="35" xfId="0" applyFont="1" applyFill="1" applyBorder="1" applyAlignment="1">
      <alignment horizontal="center" vertical="center"/>
    </xf>
    <xf numFmtId="0" fontId="42" fillId="3" borderId="40" xfId="0" applyFont="1" applyFill="1" applyBorder="1" applyAlignment="1">
      <alignment vertical="center"/>
    </xf>
    <xf numFmtId="0" fontId="42" fillId="3" borderId="41" xfId="0" applyFont="1" applyFill="1" applyBorder="1" applyAlignment="1">
      <alignment vertical="center"/>
    </xf>
    <xf numFmtId="0" fontId="36" fillId="3" borderId="41" xfId="0" applyFont="1" applyFill="1" applyBorder="1" applyAlignment="1">
      <alignment vertical="center"/>
    </xf>
    <xf numFmtId="0" fontId="36" fillId="3" borderId="42" xfId="0" applyFont="1" applyFill="1" applyBorder="1" applyAlignment="1">
      <alignment vertical="center"/>
    </xf>
    <xf numFmtId="0" fontId="38" fillId="5" borderId="0" xfId="0" applyFont="1" applyFill="1" applyAlignment="1">
      <alignment vertical="center"/>
    </xf>
    <xf numFmtId="0" fontId="36" fillId="0" borderId="0" xfId="0" applyFont="1" applyAlignment="1">
      <alignment vertical="center"/>
    </xf>
    <xf numFmtId="174" fontId="38" fillId="5" borderId="0" xfId="0" applyNumberFormat="1" applyFont="1" applyFill="1"/>
    <xf numFmtId="0" fontId="36" fillId="5" borderId="0" xfId="0" applyFont="1" applyFill="1" applyBorder="1"/>
    <xf numFmtId="0" fontId="40" fillId="8" borderId="58" xfId="0" applyFont="1" applyFill="1" applyBorder="1" applyAlignment="1">
      <alignment horizontal="center" vertical="center"/>
    </xf>
    <xf numFmtId="0" fontId="40" fillId="8" borderId="59" xfId="0" applyFont="1" applyFill="1" applyBorder="1" applyAlignment="1">
      <alignment horizontal="center" vertical="center" wrapText="1"/>
    </xf>
    <xf numFmtId="0" fontId="40" fillId="8" borderId="60" xfId="0" applyFont="1" applyFill="1" applyBorder="1" applyAlignment="1">
      <alignment horizontal="center" vertical="center" wrapText="1"/>
    </xf>
    <xf numFmtId="0" fontId="36" fillId="0" borderId="0" xfId="0" applyFont="1" applyFill="1" applyBorder="1"/>
    <xf numFmtId="0" fontId="36" fillId="5" borderId="0" xfId="0" applyFont="1" applyFill="1" applyBorder="1" applyAlignment="1">
      <alignment horizontal="center" vertical="center" wrapText="1"/>
    </xf>
    <xf numFmtId="0" fontId="40" fillId="4" borderId="27" xfId="0" applyFont="1" applyFill="1" applyBorder="1" applyAlignment="1">
      <alignment horizontal="center" vertical="center" wrapText="1"/>
    </xf>
    <xf numFmtId="0" fontId="41" fillId="10" borderId="35" xfId="0" applyFont="1" applyFill="1" applyBorder="1" applyAlignment="1">
      <alignment horizontal="center" vertical="top" wrapText="1"/>
    </xf>
    <xf numFmtId="0" fontId="40" fillId="4" borderId="6"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40" fillId="8" borderId="61" xfId="0" applyFont="1" applyFill="1" applyBorder="1" applyAlignment="1">
      <alignment horizontal="center"/>
    </xf>
    <xf numFmtId="0" fontId="40" fillId="4" borderId="0" xfId="0" applyFont="1" applyFill="1" applyBorder="1" applyAlignment="1">
      <alignment horizontal="center" vertical="center" wrapText="1"/>
    </xf>
    <xf numFmtId="0" fontId="36" fillId="0" borderId="0" xfId="0" applyFont="1" applyFill="1"/>
    <xf numFmtId="0" fontId="36" fillId="5" borderId="62" xfId="0" applyFont="1" applyFill="1" applyBorder="1"/>
    <xf numFmtId="164" fontId="36" fillId="5" borderId="35" xfId="1" applyNumberFormat="1" applyFont="1" applyFill="1" applyBorder="1"/>
    <xf numFmtId="164" fontId="36" fillId="0" borderId="35" xfId="1" applyNumberFormat="1" applyFont="1" applyBorder="1"/>
    <xf numFmtId="168" fontId="36" fillId="5" borderId="35" xfId="1" applyNumberFormat="1" applyFont="1" applyFill="1" applyBorder="1"/>
    <xf numFmtId="174" fontId="36" fillId="5" borderId="35" xfId="1" applyNumberFormat="1" applyFont="1" applyFill="1" applyBorder="1"/>
    <xf numFmtId="168" fontId="36" fillId="19" borderId="35" xfId="1" applyNumberFormat="1" applyFont="1" applyFill="1" applyBorder="1"/>
    <xf numFmtId="0" fontId="36" fillId="5" borderId="63" xfId="0" applyFont="1" applyFill="1" applyBorder="1" applyAlignment="1">
      <alignment horizontal="center"/>
    </xf>
    <xf numFmtId="169" fontId="36" fillId="5" borderId="0" xfId="0" applyNumberFormat="1" applyFont="1" applyFill="1"/>
    <xf numFmtId="10" fontId="38" fillId="5" borderId="0" xfId="15" applyNumberFormat="1" applyFont="1" applyFill="1"/>
    <xf numFmtId="0" fontId="36" fillId="0" borderId="62" xfId="0" applyFont="1" applyBorder="1"/>
    <xf numFmtId="0" fontId="40" fillId="8" borderId="64" xfId="0" applyFont="1" applyFill="1" applyBorder="1" applyAlignment="1">
      <alignment horizontal="center"/>
    </xf>
    <xf numFmtId="169" fontId="40" fillId="4" borderId="0" xfId="1" applyNumberFormat="1" applyFont="1" applyFill="1" applyBorder="1"/>
    <xf numFmtId="168" fontId="40" fillId="4" borderId="0" xfId="1" applyNumberFormat="1" applyFont="1" applyFill="1" applyBorder="1"/>
    <xf numFmtId="174" fontId="40" fillId="4" borderId="0" xfId="1" applyNumberFormat="1" applyFont="1" applyFill="1" applyBorder="1"/>
    <xf numFmtId="0" fontId="40" fillId="4" borderId="6" xfId="0" applyFont="1" applyFill="1" applyBorder="1" applyAlignment="1">
      <alignment horizontal="center"/>
    </xf>
    <xf numFmtId="164" fontId="36" fillId="0" borderId="35" xfId="1" applyFont="1" applyBorder="1"/>
    <xf numFmtId="0" fontId="36" fillId="5" borderId="0" xfId="0" applyFont="1" applyFill="1" applyBorder="1" applyAlignment="1">
      <alignment horizontal="center"/>
    </xf>
    <xf numFmtId="168" fontId="40" fillId="4" borderId="0" xfId="0" applyNumberFormat="1" applyFont="1" applyFill="1" applyBorder="1"/>
    <xf numFmtId="0" fontId="40" fillId="4" borderId="6" xfId="0" applyFont="1" applyFill="1" applyBorder="1"/>
    <xf numFmtId="0" fontId="40" fillId="8" borderId="61" xfId="0" applyFont="1" applyFill="1" applyBorder="1" applyAlignment="1">
      <alignment horizontal="center" vertical="center" wrapText="1"/>
    </xf>
    <xf numFmtId="169" fontId="38" fillId="4" borderId="0" xfId="1" applyNumberFormat="1" applyFont="1" applyFill="1" applyBorder="1"/>
    <xf numFmtId="169" fontId="45" fillId="4" borderId="0" xfId="1" applyNumberFormat="1" applyFont="1" applyFill="1" applyBorder="1"/>
    <xf numFmtId="174" fontId="36" fillId="4" borderId="0" xfId="1" applyNumberFormat="1" applyFont="1" applyFill="1" applyBorder="1"/>
    <xf numFmtId="0" fontId="36" fillId="4" borderId="0" xfId="0" applyFont="1" applyFill="1" applyBorder="1"/>
    <xf numFmtId="0" fontId="36" fillId="4" borderId="6" xfId="0" applyFont="1" applyFill="1" applyBorder="1"/>
    <xf numFmtId="164" fontId="38" fillId="5" borderId="0" xfId="0" applyNumberFormat="1" applyFont="1" applyFill="1" applyAlignment="1">
      <alignment horizontal="center"/>
    </xf>
    <xf numFmtId="175" fontId="36" fillId="5" borderId="35" xfId="1" applyNumberFormat="1" applyFont="1" applyFill="1" applyBorder="1"/>
    <xf numFmtId="176" fontId="36" fillId="5" borderId="35" xfId="1" applyNumberFormat="1" applyFont="1" applyFill="1" applyBorder="1"/>
    <xf numFmtId="175" fontId="36" fillId="5" borderId="63" xfId="1" applyNumberFormat="1" applyFont="1" applyFill="1" applyBorder="1" applyAlignment="1">
      <alignment horizontal="center"/>
    </xf>
    <xf numFmtId="164" fontId="40" fillId="8" borderId="64" xfId="1" applyFont="1" applyFill="1" applyBorder="1" applyAlignment="1">
      <alignment horizontal="center"/>
    </xf>
    <xf numFmtId="175" fontId="40" fillId="4" borderId="0" xfId="1" applyNumberFormat="1" applyFont="1" applyFill="1" applyBorder="1"/>
    <xf numFmtId="176" fontId="40" fillId="4" borderId="0" xfId="1" applyNumberFormat="1" applyFont="1" applyFill="1" applyBorder="1"/>
    <xf numFmtId="175" fontId="40" fillId="4" borderId="6" xfId="1" applyNumberFormat="1" applyFont="1" applyFill="1" applyBorder="1" applyAlignment="1">
      <alignment horizontal="center"/>
    </xf>
    <xf numFmtId="175" fontId="36" fillId="0" borderId="35" xfId="1" applyNumberFormat="1" applyFont="1" applyBorder="1"/>
    <xf numFmtId="169" fontId="36" fillId="5" borderId="35" xfId="1" applyNumberFormat="1" applyFont="1" applyFill="1" applyBorder="1"/>
    <xf numFmtId="164" fontId="36" fillId="0" borderId="35" xfId="1" applyFont="1" applyBorder="1" applyAlignment="1">
      <alignment horizontal="center"/>
    </xf>
    <xf numFmtId="164" fontId="38" fillId="5" borderId="0" xfId="0" applyNumberFormat="1" applyFont="1" applyFill="1" applyAlignment="1">
      <alignment horizontal="center" vertical="center"/>
    </xf>
    <xf numFmtId="0" fontId="36" fillId="0" borderId="62" xfId="0" applyFont="1" applyBorder="1" applyAlignment="1">
      <alignment vertical="center"/>
    </xf>
    <xf numFmtId="175" fontId="36" fillId="0" borderId="35" xfId="1" applyNumberFormat="1" applyFont="1" applyBorder="1" applyAlignment="1">
      <alignment vertical="center"/>
    </xf>
    <xf numFmtId="164" fontId="36" fillId="0" borderId="35" xfId="1" applyFont="1" applyBorder="1" applyAlignment="1">
      <alignment vertical="center"/>
    </xf>
    <xf numFmtId="169" fontId="36" fillId="5" borderId="35" xfId="1" applyNumberFormat="1" applyFont="1" applyFill="1" applyBorder="1" applyAlignment="1">
      <alignment vertical="center"/>
    </xf>
    <xf numFmtId="176" fontId="36" fillId="5" borderId="35" xfId="1" applyNumberFormat="1" applyFont="1" applyFill="1" applyBorder="1" applyAlignment="1">
      <alignment vertical="center"/>
    </xf>
    <xf numFmtId="175" fontId="36" fillId="5" borderId="35" xfId="1" applyNumberFormat="1" applyFont="1" applyFill="1" applyBorder="1" applyAlignment="1">
      <alignment vertical="center"/>
    </xf>
    <xf numFmtId="175" fontId="36" fillId="5" borderId="63" xfId="1" applyNumberFormat="1" applyFont="1" applyFill="1" applyBorder="1" applyAlignment="1">
      <alignment horizontal="center" vertical="center"/>
    </xf>
    <xf numFmtId="164" fontId="40" fillId="8" borderId="61" xfId="0" applyNumberFormat="1" applyFont="1" applyFill="1" applyBorder="1" applyAlignment="1">
      <alignment horizontal="center" vertical="center"/>
    </xf>
    <xf numFmtId="0" fontId="36" fillId="4" borderId="0" xfId="0" applyFont="1" applyFill="1" applyBorder="1" applyAlignment="1">
      <alignment vertical="center"/>
    </xf>
    <xf numFmtId="0" fontId="36" fillId="4" borderId="6" xfId="0" applyFont="1" applyFill="1" applyBorder="1" applyAlignment="1">
      <alignment horizontal="center" vertical="center"/>
    </xf>
    <xf numFmtId="169" fontId="36" fillId="0" borderId="35" xfId="1" applyNumberFormat="1" applyFont="1" applyBorder="1"/>
    <xf numFmtId="174" fontId="36" fillId="0" borderId="35" xfId="1" applyNumberFormat="1" applyFont="1" applyBorder="1"/>
    <xf numFmtId="164" fontId="36" fillId="5" borderId="35" xfId="1" applyFont="1" applyFill="1" applyBorder="1"/>
    <xf numFmtId="0" fontId="36" fillId="0" borderId="63" xfId="0" applyFont="1" applyBorder="1" applyAlignment="1">
      <alignment horizontal="center"/>
    </xf>
    <xf numFmtId="177" fontId="38" fillId="5" borderId="0" xfId="0" applyNumberFormat="1" applyFont="1" applyFill="1"/>
    <xf numFmtId="164" fontId="36" fillId="4" borderId="0" xfId="0" applyNumberFormat="1" applyFont="1" applyFill="1" applyBorder="1" applyAlignment="1">
      <alignment vertical="center"/>
    </xf>
    <xf numFmtId="164" fontId="38" fillId="4" borderId="0" xfId="1" applyFont="1" applyFill="1" applyBorder="1" applyAlignment="1">
      <alignment vertical="center"/>
    </xf>
    <xf numFmtId="0" fontId="38" fillId="4" borderId="6" xfId="0" applyFont="1" applyFill="1" applyBorder="1" applyAlignment="1">
      <alignment horizontal="center" vertical="center"/>
    </xf>
    <xf numFmtId="177" fontId="38" fillId="5" borderId="0" xfId="0" applyNumberFormat="1" applyFont="1" applyFill="1" applyAlignment="1">
      <alignment vertical="center"/>
    </xf>
    <xf numFmtId="10" fontId="38" fillId="5" borderId="0" xfId="15" applyNumberFormat="1" applyFont="1" applyFill="1" applyAlignment="1">
      <alignment vertical="center"/>
    </xf>
    <xf numFmtId="0" fontId="41" fillId="10" borderId="65" xfId="0" applyFont="1" applyFill="1" applyBorder="1" applyAlignment="1">
      <alignment horizontal="center" vertical="top" wrapText="1"/>
    </xf>
    <xf numFmtId="164" fontId="41" fillId="10" borderId="35" xfId="0" applyNumberFormat="1" applyFont="1" applyFill="1" applyBorder="1" applyAlignment="1">
      <alignment horizontal="center" vertical="top" wrapText="1"/>
    </xf>
    <xf numFmtId="0" fontId="38" fillId="4" borderId="66" xfId="0" applyFont="1" applyFill="1" applyBorder="1" applyAlignment="1">
      <alignment horizontal="center" vertical="center"/>
    </xf>
    <xf numFmtId="0" fontId="38" fillId="4" borderId="67" xfId="0" applyFont="1" applyFill="1" applyBorder="1" applyAlignment="1">
      <alignment horizontal="center" vertical="center"/>
    </xf>
    <xf numFmtId="0" fontId="38" fillId="4" borderId="68" xfId="0" applyFont="1" applyFill="1" applyBorder="1" applyAlignment="1">
      <alignment horizontal="center" vertical="center"/>
    </xf>
    <xf numFmtId="0" fontId="40" fillId="8" borderId="62" xfId="0" applyFont="1" applyFill="1" applyBorder="1" applyAlignment="1">
      <alignment horizontal="center" vertical="center"/>
    </xf>
    <xf numFmtId="0" fontId="41" fillId="4" borderId="41" xfId="0" applyFont="1" applyFill="1" applyBorder="1" applyAlignment="1">
      <alignment horizontal="center" vertical="center" wrapText="1"/>
    </xf>
    <xf numFmtId="164" fontId="41" fillId="4" borderId="41" xfId="0" applyNumberFormat="1" applyFont="1" applyFill="1" applyBorder="1" applyAlignment="1">
      <alignment horizontal="center" vertical="center" wrapText="1"/>
    </xf>
    <xf numFmtId="0" fontId="38" fillId="4" borderId="0" xfId="0" applyFont="1" applyFill="1" applyBorder="1" applyAlignment="1">
      <alignment horizontal="center" vertical="center"/>
    </xf>
    <xf numFmtId="0" fontId="36" fillId="0" borderId="56" xfId="0" applyFont="1" applyBorder="1"/>
    <xf numFmtId="0" fontId="36" fillId="0" borderId="69" xfId="0" applyFont="1" applyBorder="1" applyAlignment="1">
      <alignment vertical="center"/>
    </xf>
    <xf numFmtId="164" fontId="36" fillId="0" borderId="69" xfId="1" applyNumberFormat="1" applyFont="1" applyBorder="1" applyAlignment="1">
      <alignment vertical="center"/>
    </xf>
    <xf numFmtId="169" fontId="36" fillId="0" borderId="69" xfId="1" applyNumberFormat="1" applyFont="1" applyBorder="1" applyAlignment="1">
      <alignment vertical="center"/>
    </xf>
    <xf numFmtId="0" fontId="38" fillId="4" borderId="70" xfId="0" applyFont="1" applyFill="1" applyBorder="1" applyAlignment="1">
      <alignment horizontal="center" vertical="center"/>
    </xf>
    <xf numFmtId="0" fontId="38" fillId="4" borderId="71" xfId="0" applyFont="1" applyFill="1" applyBorder="1" applyAlignment="1">
      <alignment horizontal="center" vertical="center"/>
    </xf>
    <xf numFmtId="0" fontId="38" fillId="4" borderId="72" xfId="0" applyFont="1" applyFill="1" applyBorder="1" applyAlignment="1">
      <alignment horizontal="center" vertical="center"/>
    </xf>
    <xf numFmtId="0" fontId="36" fillId="0" borderId="57" xfId="0" applyFont="1" applyBorder="1" applyAlignment="1">
      <alignment horizontal="center" vertical="center"/>
    </xf>
    <xf numFmtId="0" fontId="40" fillId="5" borderId="0" xfId="0" applyFont="1" applyFill="1" applyBorder="1" applyAlignment="1">
      <alignment vertical="center"/>
    </xf>
    <xf numFmtId="0" fontId="36" fillId="5" borderId="0" xfId="0" applyFont="1" applyFill="1" applyBorder="1" applyAlignment="1">
      <alignment vertical="center"/>
    </xf>
    <xf numFmtId="164" fontId="36" fillId="5" borderId="0" xfId="0" applyNumberFormat="1" applyFont="1" applyFill="1"/>
    <xf numFmtId="176" fontId="38" fillId="5" borderId="0" xfId="0" applyNumberFormat="1" applyFont="1" applyFill="1"/>
    <xf numFmtId="0" fontId="47" fillId="5" borderId="0" xfId="0" applyFont="1" applyFill="1" applyAlignment="1">
      <alignment horizontal="center"/>
    </xf>
    <xf numFmtId="0" fontId="40" fillId="8" borderId="52" xfId="0" applyFont="1" applyFill="1" applyBorder="1" applyAlignment="1">
      <alignment horizontal="center" vertical="top"/>
    </xf>
    <xf numFmtId="0" fontId="40" fillId="8" borderId="73" xfId="0" applyFont="1" applyFill="1" applyBorder="1" applyAlignment="1">
      <alignment horizontal="center" vertical="top" wrapText="1"/>
    </xf>
    <xf numFmtId="0" fontId="40" fillId="8" borderId="53" xfId="0" applyFont="1" applyFill="1" applyBorder="1" applyAlignment="1">
      <alignment horizontal="center" vertical="top" wrapText="1"/>
    </xf>
    <xf numFmtId="0" fontId="0" fillId="5" borderId="0" xfId="0" applyFill="1" applyAlignment="1">
      <alignment horizontal="center" vertical="center"/>
    </xf>
    <xf numFmtId="11" fontId="0" fillId="5" borderId="0" xfId="0" applyNumberFormat="1" applyFill="1"/>
    <xf numFmtId="0" fontId="36" fillId="0" borderId="0" xfId="0" applyFont="1" applyAlignment="1">
      <alignment horizontal="center" vertical="center"/>
    </xf>
    <xf numFmtId="0" fontId="36" fillId="5" borderId="54" xfId="0" applyFont="1" applyFill="1" applyBorder="1" applyAlignment="1">
      <alignment vertical="center"/>
    </xf>
    <xf numFmtId="164" fontId="36" fillId="5" borderId="74" xfId="1" applyNumberFormat="1" applyFont="1" applyFill="1" applyBorder="1" applyAlignment="1">
      <alignment vertical="center"/>
    </xf>
    <xf numFmtId="0" fontId="0" fillId="5" borderId="0" xfId="0" applyFill="1"/>
    <xf numFmtId="0" fontId="36" fillId="5" borderId="62" xfId="0" applyFont="1" applyFill="1" applyBorder="1" applyAlignment="1">
      <alignment vertical="center"/>
    </xf>
    <xf numFmtId="164" fontId="36" fillId="5" borderId="35" xfId="1" applyNumberFormat="1" applyFont="1" applyFill="1" applyBorder="1" applyAlignment="1">
      <alignment vertical="center"/>
    </xf>
    <xf numFmtId="177" fontId="36" fillId="5" borderId="35" xfId="1" applyNumberFormat="1" applyFont="1" applyFill="1" applyBorder="1" applyAlignment="1">
      <alignment vertical="center"/>
    </xf>
    <xf numFmtId="0" fontId="36" fillId="5" borderId="56" xfId="0" applyFont="1" applyFill="1" applyBorder="1" applyAlignment="1">
      <alignment vertical="center"/>
    </xf>
    <xf numFmtId="164" fontId="36" fillId="5" borderId="69" xfId="1" applyNumberFormat="1" applyFont="1" applyFill="1" applyBorder="1" applyAlignment="1">
      <alignment vertical="center"/>
    </xf>
    <xf numFmtId="0" fontId="38" fillId="5" borderId="0" xfId="0" applyFont="1" applyFill="1" applyAlignment="1"/>
    <xf numFmtId="0" fontId="38" fillId="5" borderId="0" xfId="0" applyFont="1" applyFill="1" applyAlignment="1">
      <alignment wrapText="1"/>
    </xf>
    <xf numFmtId="0" fontId="42" fillId="9" borderId="35" xfId="0" applyFont="1" applyFill="1" applyBorder="1" applyAlignment="1">
      <alignment horizontal="center"/>
    </xf>
    <xf numFmtId="0" fontId="42" fillId="3" borderId="40" xfId="0" applyFont="1" applyFill="1" applyBorder="1"/>
    <xf numFmtId="0" fontId="36" fillId="3" borderId="41" xfId="0" applyFont="1" applyFill="1" applyBorder="1"/>
    <xf numFmtId="0" fontId="36" fillId="3" borderId="42" xfId="0" applyFont="1" applyFill="1" applyBorder="1"/>
    <xf numFmtId="0" fontId="40" fillId="4" borderId="52" xfId="0" applyFont="1" applyFill="1" applyBorder="1" applyAlignment="1">
      <alignment horizontal="center" vertical="top"/>
    </xf>
    <xf numFmtId="0" fontId="40" fillId="4" borderId="73" xfId="0" applyFont="1" applyFill="1" applyBorder="1" applyAlignment="1">
      <alignment horizontal="center" vertical="top"/>
    </xf>
    <xf numFmtId="0" fontId="40" fillId="4" borderId="73" xfId="0" applyFont="1" applyFill="1" applyBorder="1" applyAlignment="1">
      <alignment horizontal="center" vertical="top" wrapText="1"/>
    </xf>
    <xf numFmtId="0" fontId="40" fillId="4" borderId="53" xfId="0" applyFont="1" applyFill="1" applyBorder="1" applyAlignment="1">
      <alignment horizontal="center" vertical="top" wrapText="1"/>
    </xf>
    <xf numFmtId="0" fontId="36" fillId="5" borderId="23" xfId="0" applyFont="1" applyFill="1" applyBorder="1"/>
    <xf numFmtId="0" fontId="36" fillId="5" borderId="59" xfId="0" applyFont="1" applyFill="1" applyBorder="1" applyAlignment="1">
      <alignment horizontal="left"/>
    </xf>
    <xf numFmtId="177" fontId="36" fillId="0" borderId="59" xfId="1" applyNumberFormat="1" applyFont="1" applyBorder="1"/>
    <xf numFmtId="177" fontId="36" fillId="0" borderId="60" xfId="1" applyNumberFormat="1" applyFont="1" applyBorder="1"/>
    <xf numFmtId="0" fontId="36" fillId="5" borderId="27" xfId="0" applyFont="1" applyFill="1" applyBorder="1"/>
    <xf numFmtId="0" fontId="36" fillId="5" borderId="35" xfId="0" applyFont="1" applyFill="1" applyBorder="1" applyAlignment="1">
      <alignment horizontal="left"/>
    </xf>
    <xf numFmtId="177" fontId="36" fillId="0" borderId="35" xfId="1" applyNumberFormat="1" applyFont="1" applyBorder="1"/>
    <xf numFmtId="177" fontId="36" fillId="0" borderId="63" xfId="1" applyNumberFormat="1" applyFont="1" applyBorder="1"/>
    <xf numFmtId="0" fontId="36" fillId="5" borderId="25" xfId="0" applyFont="1" applyFill="1" applyBorder="1"/>
    <xf numFmtId="0" fontId="36" fillId="5" borderId="69" xfId="0" applyFont="1" applyFill="1" applyBorder="1" applyAlignment="1">
      <alignment horizontal="left"/>
    </xf>
    <xf numFmtId="177" fontId="36" fillId="0" borderId="69" xfId="1" applyNumberFormat="1" applyFont="1" applyBorder="1"/>
    <xf numFmtId="177" fontId="36" fillId="0" borderId="57" xfId="1" applyNumberFormat="1" applyFont="1" applyBorder="1"/>
    <xf numFmtId="0" fontId="36" fillId="19" borderId="0" xfId="0" applyFont="1" applyFill="1"/>
    <xf numFmtId="0" fontId="40" fillId="4" borderId="29" xfId="0" applyFont="1" applyFill="1" applyBorder="1" applyAlignment="1">
      <alignment horizontal="center" vertical="top" wrapText="1"/>
    </xf>
    <xf numFmtId="0" fontId="36" fillId="5" borderId="37" xfId="0" applyFont="1" applyFill="1" applyBorder="1" applyAlignment="1">
      <alignment horizontal="left"/>
    </xf>
    <xf numFmtId="177" fontId="36" fillId="5" borderId="59" xfId="1" applyNumberFormat="1" applyFont="1" applyFill="1" applyBorder="1" applyAlignment="1">
      <alignment horizontal="right"/>
    </xf>
    <xf numFmtId="177" fontId="36" fillId="5" borderId="31" xfId="1" applyNumberFormat="1" applyFont="1" applyFill="1" applyBorder="1" applyAlignment="1">
      <alignment horizontal="right"/>
    </xf>
    <xf numFmtId="0" fontId="36" fillId="5" borderId="66" xfId="0" applyFont="1" applyFill="1" applyBorder="1"/>
    <xf numFmtId="177" fontId="36" fillId="5" borderId="65" xfId="1" applyNumberFormat="1" applyFont="1" applyFill="1" applyBorder="1" applyAlignment="1">
      <alignment horizontal="right"/>
    </xf>
    <xf numFmtId="177" fontId="36" fillId="5" borderId="68" xfId="1" applyNumberFormat="1" applyFont="1" applyFill="1" applyBorder="1" applyAlignment="1">
      <alignment horizontal="right"/>
    </xf>
    <xf numFmtId="0" fontId="36" fillId="5" borderId="6" xfId="0" applyFont="1" applyFill="1" applyBorder="1"/>
    <xf numFmtId="0" fontId="36" fillId="5" borderId="35" xfId="0" applyFont="1" applyFill="1" applyBorder="1"/>
    <xf numFmtId="177" fontId="36" fillId="5" borderId="35" xfId="1" applyNumberFormat="1" applyFont="1" applyFill="1" applyBorder="1" applyAlignment="1">
      <alignment horizontal="right"/>
    </xf>
    <xf numFmtId="177" fontId="36" fillId="5" borderId="63" xfId="1" applyNumberFormat="1" applyFont="1" applyFill="1" applyBorder="1" applyAlignment="1">
      <alignment horizontal="right"/>
    </xf>
    <xf numFmtId="0" fontId="36" fillId="5" borderId="42" xfId="0" applyFont="1" applyFill="1" applyBorder="1"/>
    <xf numFmtId="0" fontId="36" fillId="5" borderId="42" xfId="0" applyFont="1" applyFill="1" applyBorder="1" applyAlignment="1">
      <alignment vertical="center"/>
    </xf>
    <xf numFmtId="0" fontId="36" fillId="5" borderId="35" xfId="0" applyFont="1" applyFill="1" applyBorder="1" applyAlignment="1">
      <alignment wrapText="1"/>
    </xf>
    <xf numFmtId="177" fontId="36" fillId="5" borderId="63" xfId="1" applyNumberFormat="1" applyFont="1" applyFill="1" applyBorder="1" applyAlignment="1">
      <alignment vertical="center"/>
    </xf>
    <xf numFmtId="177" fontId="36" fillId="5" borderId="35" xfId="1" applyNumberFormat="1" applyFont="1" applyFill="1" applyBorder="1"/>
    <xf numFmtId="177" fontId="36" fillId="5" borderId="63" xfId="1" applyNumberFormat="1" applyFont="1" applyFill="1" applyBorder="1"/>
    <xf numFmtId="0" fontId="36" fillId="4" borderId="35" xfId="0" applyFont="1" applyFill="1" applyBorder="1"/>
    <xf numFmtId="169" fontId="36" fillId="5" borderId="63" xfId="1" applyNumberFormat="1" applyFont="1" applyFill="1" applyBorder="1"/>
    <xf numFmtId="0" fontId="36" fillId="4" borderId="49" xfId="0" applyFont="1" applyFill="1" applyBorder="1"/>
    <xf numFmtId="169" fontId="36" fillId="5" borderId="69" xfId="1" applyNumberFormat="1" applyFont="1" applyFill="1" applyBorder="1"/>
    <xf numFmtId="169" fontId="36" fillId="5" borderId="57" xfId="1" applyNumberFormat="1" applyFont="1" applyFill="1" applyBorder="1"/>
    <xf numFmtId="0" fontId="40" fillId="3" borderId="41" xfId="0" applyFont="1" applyFill="1" applyBorder="1"/>
    <xf numFmtId="0" fontId="40" fillId="5" borderId="0" xfId="0" applyFont="1" applyFill="1"/>
    <xf numFmtId="0" fontId="40" fillId="4" borderId="52" xfId="0" applyFont="1" applyFill="1" applyBorder="1" applyAlignment="1">
      <alignment horizontal="center" vertical="top" wrapText="1"/>
    </xf>
    <xf numFmtId="0" fontId="36" fillId="5" borderId="54" xfId="0" applyFont="1" applyFill="1" applyBorder="1"/>
    <xf numFmtId="164" fontId="36" fillId="0" borderId="74" xfId="1" applyNumberFormat="1" applyFont="1" applyBorder="1"/>
    <xf numFmtId="164" fontId="36" fillId="0" borderId="55" xfId="1" applyNumberFormat="1" applyFont="1" applyFill="1" applyBorder="1"/>
    <xf numFmtId="164" fontId="36" fillId="0" borderId="63" xfId="1" applyNumberFormat="1" applyFont="1" applyFill="1" applyBorder="1"/>
    <xf numFmtId="0" fontId="36" fillId="5" borderId="56" xfId="0" applyFont="1" applyFill="1" applyBorder="1"/>
    <xf numFmtId="164" fontId="36" fillId="0" borderId="69" xfId="1" applyNumberFormat="1" applyFont="1" applyBorder="1"/>
    <xf numFmtId="164" fontId="36" fillId="0" borderId="57" xfId="1" applyNumberFormat="1" applyFont="1" applyFill="1" applyBorder="1"/>
    <xf numFmtId="0" fontId="40" fillId="4" borderId="23" xfId="0" applyFont="1" applyFill="1" applyBorder="1" applyAlignment="1">
      <alignment horizontal="center" vertical="top" wrapText="1"/>
    </xf>
    <xf numFmtId="0" fontId="40" fillId="4" borderId="75" xfId="0" applyFont="1" applyFill="1" applyBorder="1" applyAlignment="1">
      <alignment horizontal="center" vertical="top" wrapText="1"/>
    </xf>
    <xf numFmtId="0" fontId="36" fillId="5" borderId="76" xfId="0" applyFont="1" applyFill="1" applyBorder="1"/>
    <xf numFmtId="168" fontId="36" fillId="5" borderId="60" xfId="1" applyNumberFormat="1" applyFont="1" applyFill="1" applyBorder="1"/>
    <xf numFmtId="0" fontId="36" fillId="5" borderId="77" xfId="0" applyFont="1" applyFill="1" applyBorder="1"/>
    <xf numFmtId="168" fontId="36" fillId="5" borderId="63" xfId="1" applyNumberFormat="1" applyFont="1" applyFill="1" applyBorder="1"/>
    <xf numFmtId="168" fontId="36" fillId="5" borderId="57" xfId="1" applyNumberFormat="1" applyFont="1" applyFill="1" applyBorder="1"/>
    <xf numFmtId="0" fontId="42" fillId="3" borderId="41" xfId="0" applyFont="1" applyFill="1" applyBorder="1" applyAlignment="1">
      <alignment horizontal="left"/>
    </xf>
    <xf numFmtId="0" fontId="42" fillId="5" borderId="0" xfId="0" applyFont="1" applyFill="1" applyBorder="1" applyAlignment="1">
      <alignment horizontal="center"/>
    </xf>
    <xf numFmtId="0" fontId="42" fillId="5" borderId="0" xfId="0" applyFont="1" applyFill="1" applyBorder="1" applyAlignment="1">
      <alignment horizontal="left"/>
    </xf>
    <xf numFmtId="0" fontId="40" fillId="4" borderId="78" xfId="0" applyFont="1" applyFill="1" applyBorder="1" applyAlignment="1">
      <alignment horizontal="center" vertical="top" wrapText="1"/>
    </xf>
    <xf numFmtId="0" fontId="40" fillId="4" borderId="79" xfId="0" applyFont="1" applyFill="1" applyBorder="1" applyAlignment="1">
      <alignment horizontal="center" vertical="top" wrapText="1"/>
    </xf>
    <xf numFmtId="0" fontId="36" fillId="5" borderId="58" xfId="0" applyFont="1" applyFill="1" applyBorder="1"/>
    <xf numFmtId="174" fontId="36" fillId="5" borderId="80" xfId="1" applyNumberFormat="1" applyFont="1" applyFill="1" applyBorder="1" applyAlignment="1"/>
    <xf numFmtId="174" fontId="36" fillId="5" borderId="42" xfId="1" applyNumberFormat="1" applyFont="1" applyFill="1" applyBorder="1" applyAlignment="1"/>
    <xf numFmtId="168" fontId="36" fillId="5" borderId="42" xfId="1" applyNumberFormat="1" applyFont="1" applyFill="1" applyBorder="1" applyAlignment="1"/>
    <xf numFmtId="0" fontId="36" fillId="5" borderId="62" xfId="0" applyFont="1" applyFill="1" applyBorder="1" applyAlignment="1">
      <alignment horizontal="left"/>
    </xf>
    <xf numFmtId="168" fontId="36" fillId="5" borderId="72" xfId="1" applyNumberFormat="1" applyFont="1" applyFill="1" applyBorder="1" applyAlignment="1"/>
    <xf numFmtId="0" fontId="40" fillId="4" borderId="26" xfId="0" applyFont="1" applyFill="1" applyBorder="1" applyAlignment="1">
      <alignment horizontal="center" vertical="center" wrapText="1"/>
    </xf>
    <xf numFmtId="0" fontId="40" fillId="4" borderId="79" xfId="0" applyFont="1" applyFill="1" applyBorder="1" applyAlignment="1">
      <alignment horizontal="center" vertical="center" wrapText="1"/>
    </xf>
    <xf numFmtId="0" fontId="40" fillId="4" borderId="75" xfId="0" applyFont="1" applyFill="1" applyBorder="1" applyAlignment="1">
      <alignment horizontal="center" vertical="center" wrapText="1"/>
    </xf>
    <xf numFmtId="0" fontId="40" fillId="4" borderId="28" xfId="0" applyFont="1" applyFill="1" applyBorder="1" applyAlignment="1">
      <alignment horizontal="center" vertical="center" wrapText="1"/>
    </xf>
    <xf numFmtId="0" fontId="40" fillId="4" borderId="50" xfId="0" applyFont="1" applyFill="1" applyBorder="1" applyAlignment="1">
      <alignment horizontal="center" vertical="center" wrapText="1"/>
    </xf>
    <xf numFmtId="0" fontId="40" fillId="4" borderId="81" xfId="0" applyFont="1" applyFill="1" applyBorder="1" applyAlignment="1">
      <alignment horizontal="center" vertical="center" wrapText="1"/>
    </xf>
    <xf numFmtId="0" fontId="36" fillId="5" borderId="82" xfId="0" applyFont="1" applyFill="1" applyBorder="1"/>
    <xf numFmtId="0" fontId="36" fillId="5" borderId="80" xfId="0" applyFont="1" applyFill="1" applyBorder="1"/>
    <xf numFmtId="164" fontId="36" fillId="5" borderId="80" xfId="1" applyNumberFormat="1" applyFont="1" applyFill="1" applyBorder="1"/>
    <xf numFmtId="176" fontId="36" fillId="5" borderId="59" xfId="1" applyNumberFormat="1" applyFont="1" applyFill="1" applyBorder="1"/>
    <xf numFmtId="176" fontId="36" fillId="5" borderId="83" xfId="1" applyNumberFormat="1" applyFont="1" applyFill="1" applyBorder="1"/>
    <xf numFmtId="0" fontId="36" fillId="5" borderId="41" xfId="0" applyFont="1" applyFill="1" applyBorder="1"/>
    <xf numFmtId="164" fontId="36" fillId="5" borderId="42" xfId="1" applyNumberFormat="1" applyFont="1" applyFill="1" applyBorder="1"/>
    <xf numFmtId="176" fontId="36" fillId="5" borderId="84" xfId="1" applyNumberFormat="1" applyFont="1" applyFill="1" applyBorder="1"/>
    <xf numFmtId="0" fontId="36" fillId="5" borderId="85" xfId="0" applyFont="1" applyFill="1" applyBorder="1"/>
    <xf numFmtId="0" fontId="36" fillId="5" borderId="71" xfId="0" applyFont="1" applyFill="1" applyBorder="1"/>
    <xf numFmtId="0" fontId="36" fillId="5" borderId="72" xfId="0" applyFont="1" applyFill="1" applyBorder="1"/>
    <xf numFmtId="164" fontId="36" fillId="5" borderId="72" xfId="1" applyNumberFormat="1" applyFont="1" applyFill="1" applyBorder="1"/>
    <xf numFmtId="176" fontId="36" fillId="5" borderId="69" xfId="1" applyNumberFormat="1" applyFont="1" applyFill="1" applyBorder="1"/>
    <xf numFmtId="176" fontId="36" fillId="5" borderId="86" xfId="1" applyNumberFormat="1" applyFont="1" applyFill="1" applyBorder="1"/>
    <xf numFmtId="0" fontId="49" fillId="5" borderId="0" xfId="0" applyFont="1" applyFill="1"/>
    <xf numFmtId="0" fontId="38" fillId="19" borderId="0" xfId="0" applyFont="1" applyFill="1" applyAlignment="1">
      <alignment horizontal="left" wrapText="1"/>
    </xf>
    <xf numFmtId="0" fontId="42" fillId="5" borderId="0" xfId="0" applyFont="1" applyFill="1"/>
    <xf numFmtId="164" fontId="36" fillId="5" borderId="80" xfId="1" applyFont="1" applyFill="1" applyBorder="1"/>
    <xf numFmtId="164" fontId="36" fillId="5" borderId="42" xfId="1" applyFont="1" applyFill="1" applyBorder="1"/>
    <xf numFmtId="164" fontId="36" fillId="5" borderId="72" xfId="1" applyFont="1" applyFill="1" applyBorder="1"/>
    <xf numFmtId="0" fontId="42" fillId="3" borderId="41" xfId="0" applyFont="1" applyFill="1" applyBorder="1"/>
    <xf numFmtId="0" fontId="36" fillId="0" borderId="54" xfId="0" applyFont="1" applyFill="1" applyBorder="1"/>
    <xf numFmtId="169" fontId="36" fillId="0" borderId="74" xfId="1" applyNumberFormat="1" applyFont="1" applyBorder="1"/>
    <xf numFmtId="0" fontId="36" fillId="0" borderId="55" xfId="0" applyFont="1" applyBorder="1"/>
    <xf numFmtId="0" fontId="36" fillId="0" borderId="62" xfId="0" applyFont="1" applyFill="1" applyBorder="1"/>
    <xf numFmtId="0" fontId="36" fillId="0" borderId="63" xfId="0" applyFont="1" applyBorder="1"/>
    <xf numFmtId="169" fontId="36" fillId="0" borderId="65" xfId="1" applyNumberFormat="1" applyFont="1" applyBorder="1"/>
    <xf numFmtId="0" fontId="36" fillId="0" borderId="63" xfId="0" applyFont="1" applyFill="1" applyBorder="1"/>
    <xf numFmtId="0" fontId="36" fillId="0" borderId="77" xfId="0" applyFont="1" applyFill="1" applyBorder="1"/>
    <xf numFmtId="169" fontId="36" fillId="0" borderId="42" xfId="1" applyNumberFormat="1" applyFont="1" applyBorder="1"/>
    <xf numFmtId="177" fontId="36" fillId="0" borderId="42" xfId="1" applyNumberFormat="1" applyFont="1" applyBorder="1"/>
    <xf numFmtId="0" fontId="36" fillId="0" borderId="62" xfId="0" applyFont="1" applyFill="1" applyBorder="1" applyAlignment="1">
      <alignment wrapText="1"/>
    </xf>
    <xf numFmtId="0" fontId="36" fillId="0" borderId="56" xfId="0" applyFont="1" applyFill="1" applyBorder="1"/>
    <xf numFmtId="169" fontId="36" fillId="0" borderId="69" xfId="1" applyNumberFormat="1" applyFont="1" applyBorder="1"/>
    <xf numFmtId="0" fontId="36" fillId="0" borderId="57" xfId="0" applyFont="1" applyFill="1" applyBorder="1"/>
    <xf numFmtId="0" fontId="40" fillId="0" borderId="0" xfId="0" applyFont="1" applyFill="1" applyBorder="1"/>
    <xf numFmtId="169" fontId="36" fillId="0" borderId="0" xfId="1" applyNumberFormat="1" applyFont="1" applyBorder="1"/>
    <xf numFmtId="177" fontId="36" fillId="0" borderId="0" xfId="1" applyNumberFormat="1" applyFont="1" applyBorder="1"/>
    <xf numFmtId="0" fontId="40" fillId="4" borderId="52" xfId="0" applyFont="1" applyFill="1" applyBorder="1" applyAlignment="1">
      <alignment horizontal="center" vertical="center" wrapText="1"/>
    </xf>
    <xf numFmtId="0" fontId="40" fillId="4" borderId="73" xfId="0" applyFont="1" applyFill="1" applyBorder="1" applyAlignment="1">
      <alignment horizontal="center" vertical="center" wrapText="1"/>
    </xf>
    <xf numFmtId="0" fontId="40" fillId="4" borderId="53" xfId="0" applyFont="1" applyFill="1" applyBorder="1" applyAlignment="1">
      <alignment horizontal="center" vertical="center" wrapText="1"/>
    </xf>
    <xf numFmtId="0" fontId="36" fillId="5" borderId="63" xfId="0" applyFont="1" applyFill="1" applyBorder="1"/>
    <xf numFmtId="169" fontId="36" fillId="5" borderId="74" xfId="1" applyNumberFormat="1" applyFont="1" applyFill="1" applyBorder="1"/>
    <xf numFmtId="0" fontId="36" fillId="5" borderId="55" xfId="0" applyFont="1" applyFill="1" applyBorder="1"/>
    <xf numFmtId="177" fontId="36" fillId="5" borderId="69" xfId="1" applyNumberFormat="1" applyFont="1" applyFill="1" applyBorder="1"/>
    <xf numFmtId="0" fontId="36" fillId="5" borderId="57" xfId="0" applyFont="1" applyFill="1" applyBorder="1"/>
    <xf numFmtId="0" fontId="46" fillId="5" borderId="0" xfId="0" applyFont="1" applyFill="1"/>
    <xf numFmtId="0" fontId="46" fillId="5" borderId="0" xfId="0" quotePrefix="1" applyFont="1" applyFill="1"/>
    <xf numFmtId="0" fontId="36" fillId="0" borderId="0" xfId="0" applyFont="1" applyAlignment="1">
      <alignment horizontal="center"/>
    </xf>
    <xf numFmtId="0" fontId="21" fillId="0" borderId="0" xfId="14" applyFont="1"/>
    <xf numFmtId="0" fontId="21" fillId="0" borderId="0" xfId="14" applyFont="1" applyFill="1"/>
    <xf numFmtId="0" fontId="20" fillId="0" borderId="0" xfId="14" applyFont="1"/>
    <xf numFmtId="0" fontId="21" fillId="8" borderId="0" xfId="14" applyFont="1" applyFill="1" applyBorder="1"/>
    <xf numFmtId="0" fontId="25" fillId="8" borderId="0" xfId="14" applyFont="1" applyFill="1" applyBorder="1" applyAlignment="1">
      <alignment wrapText="1"/>
    </xf>
    <xf numFmtId="0" fontId="24" fillId="0" borderId="0" xfId="14" applyAlignment="1">
      <alignment wrapText="1"/>
    </xf>
    <xf numFmtId="0" fontId="25" fillId="8" borderId="0" xfId="14" applyFont="1" applyFill="1" applyBorder="1"/>
    <xf numFmtId="0" fontId="21" fillId="0" borderId="0" xfId="14" applyFont="1" applyFill="1" applyBorder="1"/>
    <xf numFmtId="0" fontId="21" fillId="11" borderId="0" xfId="14" applyFont="1" applyFill="1" applyBorder="1"/>
    <xf numFmtId="0" fontId="25" fillId="11" borderId="0" xfId="14" applyFont="1" applyFill="1" applyBorder="1" applyAlignment="1">
      <alignment wrapText="1"/>
    </xf>
    <xf numFmtId="0" fontId="25" fillId="0" borderId="0" xfId="14" applyFont="1" applyFill="1" applyBorder="1" applyAlignment="1">
      <alignment horizontal="right"/>
    </xf>
    <xf numFmtId="0" fontId="21" fillId="0" borderId="0" xfId="14" applyFont="1" applyAlignment="1">
      <alignment horizontal="right"/>
    </xf>
    <xf numFmtId="0" fontId="25" fillId="0" borderId="19" xfId="14" applyFont="1" applyFill="1" applyBorder="1" applyAlignment="1">
      <alignment wrapText="1"/>
    </xf>
    <xf numFmtId="0" fontId="25" fillId="0" borderId="0" xfId="14" applyFont="1" applyFill="1" applyBorder="1" applyAlignment="1">
      <alignment wrapText="1"/>
    </xf>
    <xf numFmtId="0" fontId="25" fillId="0" borderId="0" xfId="14" applyFont="1" applyFill="1" applyBorder="1" applyAlignment="1"/>
    <xf numFmtId="0" fontId="21" fillId="0" borderId="0" xfId="14" applyFont="1" applyFill="1" applyBorder="1" applyAlignment="1"/>
    <xf numFmtId="0" fontId="25" fillId="0" borderId="0" xfId="14" applyFont="1" applyBorder="1" applyAlignment="1">
      <alignment horizontal="left" vertical="center" wrapText="1"/>
    </xf>
    <xf numFmtId="0" fontId="21" fillId="0" borderId="0" xfId="14" applyFont="1" applyBorder="1" applyAlignment="1">
      <alignment horizontal="left" vertical="center" wrapText="1"/>
    </xf>
    <xf numFmtId="168" fontId="21" fillId="0" borderId="19" xfId="1" applyNumberFormat="1" applyFont="1" applyBorder="1"/>
    <xf numFmtId="0" fontId="21" fillId="0" borderId="35" xfId="14" applyFont="1" applyBorder="1" applyAlignment="1">
      <alignment horizontal="center" wrapText="1"/>
    </xf>
    <xf numFmtId="0" fontId="21" fillId="0" borderId="0" xfId="14" applyFont="1" applyAlignment="1">
      <alignment wrapText="1"/>
    </xf>
    <xf numFmtId="0" fontId="24" fillId="0" borderId="0" xfId="14" applyAlignment="1">
      <alignment vertical="top" wrapText="1"/>
    </xf>
    <xf numFmtId="1" fontId="21" fillId="0" borderId="19" xfId="14" applyNumberFormat="1" applyFont="1" applyBorder="1"/>
    <xf numFmtId="0" fontId="21" fillId="0" borderId="0" xfId="14" applyFont="1" applyAlignment="1">
      <alignment horizontal="left"/>
    </xf>
    <xf numFmtId="3" fontId="21" fillId="3" borderId="19" xfId="14" applyNumberFormat="1" applyFont="1" applyFill="1" applyBorder="1"/>
    <xf numFmtId="0" fontId="21" fillId="0" borderId="0" xfId="14" applyFont="1" applyAlignment="1">
      <alignment vertical="top" wrapText="1"/>
    </xf>
    <xf numFmtId="0" fontId="21" fillId="0" borderId="0" xfId="14" applyFont="1" applyFill="1" applyAlignment="1">
      <alignment vertical="top"/>
    </xf>
    <xf numFmtId="0" fontId="24" fillId="0" borderId="0" xfId="14"/>
    <xf numFmtId="0" fontId="50" fillId="11" borderId="0" xfId="14" applyFont="1" applyFill="1"/>
    <xf numFmtId="0" fontId="52" fillId="11" borderId="0" xfId="14" applyFont="1" applyFill="1"/>
    <xf numFmtId="0" fontId="52" fillId="0" borderId="0" xfId="14" applyFont="1" applyFill="1"/>
    <xf numFmtId="0" fontId="52" fillId="0" borderId="0" xfId="14" applyFont="1"/>
    <xf numFmtId="0" fontId="25" fillId="0" borderId="0" xfId="14" applyFont="1" applyAlignment="1">
      <alignment horizontal="left" vertical="center" wrapText="1"/>
    </xf>
    <xf numFmtId="0" fontId="21" fillId="0" borderId="0" xfId="14" applyFont="1" applyAlignment="1">
      <alignment horizontal="left" vertical="center" wrapText="1"/>
    </xf>
    <xf numFmtId="0" fontId="24" fillId="0" borderId="0" xfId="14" applyFill="1"/>
    <xf numFmtId="0" fontId="33" fillId="0" borderId="0" xfId="14" applyFont="1" applyFill="1"/>
    <xf numFmtId="0" fontId="33" fillId="0" borderId="0" xfId="14" applyFont="1"/>
    <xf numFmtId="3" fontId="21" fillId="0" borderId="19" xfId="14" applyNumberFormat="1" applyFont="1" applyBorder="1"/>
    <xf numFmtId="3" fontId="21" fillId="0" borderId="0" xfId="14" applyNumberFormat="1" applyFont="1" applyBorder="1"/>
    <xf numFmtId="3" fontId="21" fillId="0" borderId="0" xfId="14" applyNumberFormat="1" applyFont="1" applyFill="1" applyBorder="1"/>
    <xf numFmtId="0" fontId="21" fillId="0" borderId="19" xfId="14" applyFont="1" applyBorder="1"/>
    <xf numFmtId="168" fontId="21" fillId="3" borderId="19" xfId="1" applyNumberFormat="1" applyFont="1" applyFill="1" applyBorder="1"/>
    <xf numFmtId="168" fontId="21" fillId="0" borderId="0" xfId="1" applyNumberFormat="1" applyFont="1" applyFill="1"/>
    <xf numFmtId="168" fontId="21" fillId="0" borderId="0" xfId="1" applyNumberFormat="1" applyFont="1"/>
    <xf numFmtId="0" fontId="21" fillId="11" borderId="0" xfId="14" applyFont="1" applyFill="1"/>
    <xf numFmtId="0" fontId="41" fillId="0" borderId="0" xfId="14" applyFont="1" applyAlignment="1">
      <alignment vertical="top" wrapText="1"/>
    </xf>
    <xf numFmtId="0" fontId="21" fillId="0" borderId="0" xfId="14" applyFont="1" applyAlignment="1">
      <alignment vertical="top"/>
    </xf>
    <xf numFmtId="0" fontId="40" fillId="0" borderId="0" xfId="14" applyFont="1" applyAlignment="1">
      <alignment vertical="center" wrapText="1"/>
    </xf>
    <xf numFmtId="0" fontId="36" fillId="0" borderId="0" xfId="14" applyFont="1" applyAlignment="1">
      <alignment horizontal="left" vertical="center" wrapText="1"/>
    </xf>
    <xf numFmtId="168" fontId="21" fillId="3" borderId="87" xfId="1" applyNumberFormat="1" applyFont="1" applyFill="1" applyBorder="1"/>
    <xf numFmtId="168" fontId="21" fillId="0" borderId="0" xfId="1" applyNumberFormat="1" applyFont="1" applyBorder="1"/>
    <xf numFmtId="168" fontId="21" fillId="0" borderId="30" xfId="1" applyNumberFormat="1" applyFont="1" applyFill="1" applyBorder="1"/>
    <xf numFmtId="168" fontId="21" fillId="0" borderId="0" xfId="14" applyNumberFormat="1" applyFont="1"/>
    <xf numFmtId="0" fontId="53" fillId="0" borderId="0" xfId="14" applyFont="1" applyBorder="1"/>
    <xf numFmtId="0" fontId="54" fillId="0" borderId="0" xfId="14" applyFont="1" applyBorder="1" applyAlignment="1">
      <alignment horizontal="left" vertical="center" wrapText="1"/>
    </xf>
    <xf numFmtId="0" fontId="55" fillId="0" borderId="0" xfId="14" applyFont="1" applyBorder="1" applyAlignment="1">
      <alignment horizontal="right"/>
    </xf>
    <xf numFmtId="0" fontId="55" fillId="0" borderId="0" xfId="14" applyFont="1" applyBorder="1"/>
    <xf numFmtId="168" fontId="21" fillId="0" borderId="10" xfId="1" applyNumberFormat="1" applyFont="1" applyBorder="1"/>
    <xf numFmtId="0" fontId="21" fillId="0" borderId="0" xfId="14" applyFont="1" applyBorder="1"/>
    <xf numFmtId="0" fontId="56" fillId="0" borderId="0" xfId="14" applyFont="1" applyBorder="1" applyAlignment="1">
      <alignment vertical="center" wrapText="1"/>
    </xf>
    <xf numFmtId="0" fontId="53" fillId="0" borderId="0" xfId="14" applyFont="1" applyBorder="1" applyAlignment="1">
      <alignment vertical="center" wrapText="1"/>
    </xf>
    <xf numFmtId="0" fontId="25" fillId="0" borderId="0" xfId="14" applyFont="1" applyAlignment="1">
      <alignment horizontal="left" wrapText="1"/>
    </xf>
    <xf numFmtId="0" fontId="25" fillId="0" borderId="0" xfId="14" applyFont="1" applyAlignment="1">
      <alignment horizontal="right"/>
    </xf>
    <xf numFmtId="168" fontId="21" fillId="3" borderId="17" xfId="1" applyNumberFormat="1" applyFont="1" applyFill="1" applyBorder="1"/>
    <xf numFmtId="0" fontId="25" fillId="0" borderId="0" xfId="14" applyFont="1" applyBorder="1"/>
    <xf numFmtId="0" fontId="57" fillId="0" borderId="0" xfId="14" applyFont="1"/>
    <xf numFmtId="0" fontId="58" fillId="0" borderId="0" xfId="14" applyFont="1"/>
    <xf numFmtId="0" fontId="57" fillId="0" borderId="0" xfId="14" applyFont="1" applyFill="1"/>
    <xf numFmtId="0" fontId="57" fillId="12" borderId="0" xfId="14" applyFont="1" applyFill="1"/>
    <xf numFmtId="0" fontId="57" fillId="8" borderId="0" xfId="14" applyFont="1" applyFill="1" applyBorder="1"/>
    <xf numFmtId="0" fontId="59" fillId="8" borderId="0" xfId="14" applyFont="1" applyFill="1" applyBorder="1" applyAlignment="1">
      <alignment wrapText="1"/>
    </xf>
    <xf numFmtId="0" fontId="57" fillId="8" borderId="0" xfId="14" applyFont="1" applyFill="1" applyAlignment="1">
      <alignment wrapText="1"/>
    </xf>
    <xf numFmtId="0" fontId="57" fillId="8" borderId="0" xfId="14" applyFont="1" applyFill="1"/>
    <xf numFmtId="0" fontId="60" fillId="11" borderId="0" xfId="14" applyFont="1" applyFill="1"/>
    <xf numFmtId="0" fontId="61" fillId="11" borderId="0" xfId="14" applyFont="1" applyFill="1"/>
    <xf numFmtId="0" fontId="60" fillId="0" borderId="0" xfId="14" applyFont="1" applyFill="1"/>
    <xf numFmtId="0" fontId="25" fillId="0" borderId="0" xfId="14" applyFont="1" applyAlignment="1">
      <alignment wrapText="1"/>
    </xf>
    <xf numFmtId="0" fontId="21" fillId="0" borderId="19" xfId="14" applyFont="1" applyBorder="1" applyAlignment="1">
      <alignment horizontal="center"/>
    </xf>
    <xf numFmtId="168" fontId="21" fillId="3" borderId="19" xfId="1" applyNumberFormat="1" applyFont="1" applyFill="1" applyBorder="1" applyAlignment="1">
      <alignment wrapText="1"/>
    </xf>
    <xf numFmtId="9" fontId="21" fillId="0" borderId="19" xfId="14" applyNumberFormat="1" applyFont="1" applyBorder="1" applyAlignment="1">
      <alignment horizontal="center"/>
    </xf>
    <xf numFmtId="0" fontId="21" fillId="0" borderId="0" xfId="14" applyFont="1" applyBorder="1" applyAlignment="1">
      <alignment horizontal="left" vertical="top"/>
    </xf>
    <xf numFmtId="178" fontId="21" fillId="0" borderId="0" xfId="14" applyNumberFormat="1" applyFont="1" applyBorder="1" applyAlignment="1">
      <alignment horizontal="center"/>
    </xf>
    <xf numFmtId="9" fontId="57" fillId="0" borderId="0" xfId="14" applyNumberFormat="1" applyFont="1" applyBorder="1" applyAlignment="1">
      <alignment horizontal="center"/>
    </xf>
    <xf numFmtId="168" fontId="57" fillId="0" borderId="0" xfId="1" applyNumberFormat="1" applyFont="1"/>
    <xf numFmtId="0" fontId="59" fillId="0" borderId="0" xfId="14" applyFont="1" applyAlignment="1">
      <alignment horizontal="left"/>
    </xf>
    <xf numFmtId="0" fontId="57" fillId="0" borderId="0" xfId="14" applyFont="1" applyBorder="1" applyAlignment="1">
      <alignment horizontal="center"/>
    </xf>
    <xf numFmtId="0" fontId="59" fillId="0" borderId="0" xfId="14" applyFont="1"/>
    <xf numFmtId="168" fontId="57" fillId="0" borderId="0" xfId="1" applyNumberFormat="1" applyFont="1" applyBorder="1"/>
    <xf numFmtId="0" fontId="57" fillId="11" borderId="0" xfId="14" applyFont="1" applyFill="1"/>
    <xf numFmtId="168" fontId="57" fillId="11" borderId="0" xfId="1" applyNumberFormat="1" applyFont="1" applyFill="1"/>
    <xf numFmtId="0" fontId="62" fillId="0" borderId="0" xfId="14" applyFont="1" applyFill="1"/>
    <xf numFmtId="0" fontId="63" fillId="0" borderId="0" xfId="14" applyFont="1" applyFill="1"/>
    <xf numFmtId="168" fontId="63" fillId="0" borderId="0" xfId="1" applyNumberFormat="1" applyFont="1" applyFill="1"/>
    <xf numFmtId="0" fontId="64" fillId="0" borderId="0" xfId="14" applyFont="1" applyFill="1"/>
    <xf numFmtId="0" fontId="25" fillId="0" borderId="0" xfId="14" applyFont="1"/>
    <xf numFmtId="168" fontId="21" fillId="3" borderId="19" xfId="1" applyNumberFormat="1" applyFont="1" applyFill="1" applyBorder="1" applyAlignment="1">
      <alignment horizontal="center"/>
    </xf>
    <xf numFmtId="170" fontId="21" fillId="0" borderId="19" xfId="14" applyNumberFormat="1" applyFont="1" applyBorder="1" applyAlignment="1">
      <alignment horizontal="center"/>
    </xf>
    <xf numFmtId="0" fontId="57" fillId="0" borderId="0" xfId="14" applyFont="1" applyFill="1" applyAlignment="1">
      <alignment vertical="top"/>
    </xf>
    <xf numFmtId="170" fontId="21" fillId="0" borderId="0" xfId="14" applyNumberFormat="1" applyFont="1" applyBorder="1" applyAlignment="1">
      <alignment horizontal="center"/>
    </xf>
    <xf numFmtId="0" fontId="24" fillId="0" borderId="0" xfId="14" applyFont="1"/>
    <xf numFmtId="0" fontId="21" fillId="0" borderId="0" xfId="14" applyFont="1" applyAlignment="1">
      <alignment horizontal="center"/>
    </xf>
    <xf numFmtId="0" fontId="38" fillId="0" borderId="0" xfId="14" applyFont="1" applyAlignment="1">
      <alignment horizontal="left"/>
    </xf>
    <xf numFmtId="0" fontId="21" fillId="0" borderId="0" xfId="14" applyFont="1" applyAlignment="1">
      <alignment horizontal="left" vertical="top"/>
    </xf>
    <xf numFmtId="0" fontId="57" fillId="0" borderId="0" xfId="14" applyFont="1" applyAlignment="1">
      <alignment vertical="top"/>
    </xf>
    <xf numFmtId="0" fontId="24" fillId="0" borderId="0" xfId="14" applyFont="1" applyAlignment="1"/>
    <xf numFmtId="0" fontId="38" fillId="0" borderId="0" xfId="14" applyFont="1" applyAlignment="1">
      <alignment horizontal="left" wrapText="1"/>
    </xf>
    <xf numFmtId="168" fontId="25" fillId="0" borderId="0" xfId="1" applyNumberFormat="1" applyFont="1" applyAlignment="1">
      <alignment horizontal="center"/>
    </xf>
    <xf numFmtId="0" fontId="21" fillId="0" borderId="19" xfId="14" applyFont="1" applyBorder="1" applyAlignment="1">
      <alignment horizontal="center" wrapText="1"/>
    </xf>
    <xf numFmtId="0" fontId="27" fillId="0" borderId="0" xfId="14" applyFont="1"/>
    <xf numFmtId="0" fontId="25" fillId="0" borderId="0" xfId="14" applyFont="1" applyAlignment="1">
      <alignment horizontal="center"/>
    </xf>
    <xf numFmtId="0" fontId="57" fillId="0" borderId="0" xfId="14" applyFont="1" applyFill="1" applyBorder="1"/>
    <xf numFmtId="168" fontId="0" fillId="0" borderId="0" xfId="1" applyNumberFormat="1" applyFont="1" applyBorder="1"/>
    <xf numFmtId="168" fontId="0" fillId="0" borderId="0" xfId="1" applyNumberFormat="1" applyFont="1" applyFill="1" applyBorder="1"/>
    <xf numFmtId="168" fontId="21" fillId="11" borderId="0" xfId="1" applyNumberFormat="1" applyFont="1" applyFill="1"/>
    <xf numFmtId="0" fontId="41" fillId="0" borderId="0" xfId="14" applyFont="1" applyFill="1" applyAlignment="1">
      <alignment wrapText="1"/>
    </xf>
    <xf numFmtId="0" fontId="24" fillId="0" borderId="0" xfId="14" applyFont="1" applyBorder="1" applyAlignment="1">
      <alignment horizontal="right" wrapText="1"/>
    </xf>
    <xf numFmtId="0" fontId="24" fillId="0" borderId="0" xfId="14" applyFont="1" applyBorder="1" applyAlignment="1">
      <alignment horizontal="left" wrapText="1"/>
    </xf>
    <xf numFmtId="168" fontId="21" fillId="0" borderId="0" xfId="1" applyNumberFormat="1" applyFont="1" applyFill="1" applyBorder="1"/>
    <xf numFmtId="9" fontId="21" fillId="0" borderId="0" xfId="14" applyNumberFormat="1" applyFont="1" applyBorder="1" applyAlignment="1">
      <alignment horizontal="center"/>
    </xf>
    <xf numFmtId="1" fontId="21" fillId="0" borderId="0" xfId="14" applyNumberFormat="1" applyFont="1" applyBorder="1" applyAlignment="1">
      <alignment horizontal="center"/>
    </xf>
    <xf numFmtId="0" fontId="0" fillId="0" borderId="0" xfId="0" applyAlignment="1">
      <alignment horizontal="left" wrapText="1"/>
    </xf>
    <xf numFmtId="0" fontId="24" fillId="0" borderId="0" xfId="14" applyBorder="1" applyAlignment="1">
      <alignment horizontal="right" wrapText="1"/>
    </xf>
    <xf numFmtId="0" fontId="24" fillId="0" borderId="0" xfId="14" applyBorder="1" applyAlignment="1">
      <alignment horizontal="left" wrapText="1"/>
    </xf>
    <xf numFmtId="178" fontId="21" fillId="0" borderId="0" xfId="14" applyNumberFormat="1" applyFont="1" applyFill="1" applyBorder="1" applyAlignment="1">
      <alignment horizontal="center"/>
    </xf>
    <xf numFmtId="9" fontId="25" fillId="0" borderId="0" xfId="14" applyNumberFormat="1" applyFont="1" applyBorder="1" applyAlignment="1">
      <alignment horizontal="right"/>
    </xf>
    <xf numFmtId="0" fontId="0" fillId="2" borderId="0" xfId="0" applyFill="1" applyAlignment="1"/>
    <xf numFmtId="0" fontId="0" fillId="0" borderId="0" xfId="0" applyAlignment="1"/>
    <xf numFmtId="3" fontId="34" fillId="0" borderId="35" xfId="10" applyNumberFormat="1" applyFont="1" applyBorder="1" applyProtection="1"/>
    <xf numFmtId="3" fontId="34" fillId="6" borderId="35" xfId="10" applyNumberFormat="1" applyFont="1" applyFill="1" applyBorder="1" applyProtection="1"/>
    <xf numFmtId="3" fontId="34" fillId="0" borderId="35" xfId="10" applyNumberFormat="1" applyFont="1" applyBorder="1" applyAlignment="1" applyProtection="1">
      <alignment horizontal="right" wrapText="1"/>
    </xf>
    <xf numFmtId="0" fontId="34" fillId="0" borderId="35" xfId="10" applyFont="1" applyBorder="1" applyAlignment="1" applyProtection="1">
      <alignment horizontal="right" wrapText="1"/>
    </xf>
    <xf numFmtId="0" fontId="72" fillId="20" borderId="35" xfId="0" applyFont="1" applyFill="1" applyBorder="1" applyAlignment="1">
      <alignment vertical="center" wrapText="1"/>
    </xf>
    <xf numFmtId="0" fontId="71" fillId="20" borderId="35" xfId="0" applyFont="1" applyFill="1" applyBorder="1" applyAlignment="1">
      <alignment vertical="center" wrapText="1"/>
    </xf>
    <xf numFmtId="0" fontId="72" fillId="20" borderId="35" xfId="0" applyFont="1" applyFill="1" applyBorder="1" applyAlignment="1">
      <alignment horizontal="right" vertical="center" wrapText="1"/>
    </xf>
    <xf numFmtId="0" fontId="72" fillId="20" borderId="35" xfId="0" applyFont="1" applyFill="1" applyBorder="1" applyAlignment="1">
      <alignment horizontal="left" vertical="center" wrapText="1"/>
    </xf>
    <xf numFmtId="0" fontId="71" fillId="20" borderId="35" xfId="0" applyFont="1" applyFill="1" applyBorder="1" applyAlignment="1">
      <alignment horizontal="right" vertical="center" wrapText="1"/>
    </xf>
    <xf numFmtId="0" fontId="5" fillId="0" borderId="17" xfId="0" applyFont="1" applyBorder="1" applyAlignment="1">
      <alignment vertical="top" wrapText="1"/>
    </xf>
    <xf numFmtId="0" fontId="0" fillId="0" borderId="24" xfId="0" applyBorder="1"/>
    <xf numFmtId="0" fontId="0" fillId="0" borderId="10" xfId="0" applyBorder="1"/>
    <xf numFmtId="0" fontId="7" fillId="0" borderId="32" xfId="0" applyFont="1" applyBorder="1" applyAlignment="1">
      <alignment vertical="center" wrapText="1"/>
    </xf>
    <xf numFmtId="0" fontId="7" fillId="0" borderId="33" xfId="0" applyFont="1" applyBorder="1" applyAlignment="1">
      <alignment vertical="center" wrapText="1"/>
    </xf>
    <xf numFmtId="0" fontId="7" fillId="0" borderId="34"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5" xfId="0" applyFont="1" applyBorder="1" applyAlignment="1">
      <alignment vertical="center" wrapText="1"/>
    </xf>
    <xf numFmtId="0" fontId="5" fillId="0" borderId="20" xfId="0" applyFont="1" applyBorder="1" applyAlignment="1">
      <alignment vertical="center" wrapText="1"/>
    </xf>
    <xf numFmtId="0" fontId="5" fillId="0" borderId="16" xfId="0" applyFont="1" applyBorder="1" applyAlignment="1">
      <alignment vertical="center" wrapText="1"/>
    </xf>
    <xf numFmtId="0" fontId="5" fillId="0" borderId="0" xfId="0" applyFont="1" applyAlignment="1">
      <alignment vertical="center"/>
    </xf>
    <xf numFmtId="0" fontId="21" fillId="0" borderId="0" xfId="0" applyFont="1"/>
    <xf numFmtId="0" fontId="21" fillId="0" borderId="23" xfId="0" applyFont="1" applyBorder="1" applyAlignment="1">
      <alignment horizontal="center"/>
    </xf>
    <xf numFmtId="0" fontId="21" fillId="0" borderId="24" xfId="0" applyFont="1" applyBorder="1" applyAlignment="1">
      <alignment horizontal="center"/>
    </xf>
    <xf numFmtId="0" fontId="0" fillId="0" borderId="24" xfId="0" applyBorder="1" applyAlignment="1">
      <alignment horizontal="center"/>
    </xf>
    <xf numFmtId="0" fontId="0" fillId="0" borderId="16" xfId="0" applyBorder="1" applyAlignment="1">
      <alignment horizontal="center"/>
    </xf>
    <xf numFmtId="0" fontId="21" fillId="0" borderId="27" xfId="0" applyFont="1" applyBorder="1" applyAlignment="1">
      <alignment horizontal="center"/>
    </xf>
    <xf numFmtId="0" fontId="21" fillId="0" borderId="0" xfId="0" applyFont="1" applyBorder="1" applyAlignment="1">
      <alignment horizontal="center"/>
    </xf>
    <xf numFmtId="0" fontId="21" fillId="0" borderId="6" xfId="0" applyFont="1" applyBorder="1" applyAlignment="1">
      <alignment horizontal="center"/>
    </xf>
    <xf numFmtId="0" fontId="0" fillId="0" borderId="27" xfId="0" applyBorder="1" applyAlignment="1">
      <alignment horizontal="center"/>
    </xf>
    <xf numFmtId="0" fontId="0" fillId="0" borderId="25" xfId="0" applyBorder="1" applyAlignment="1">
      <alignment horizontal="center"/>
    </xf>
    <xf numFmtId="0" fontId="21" fillId="0" borderId="24" xfId="0" applyFont="1" applyBorder="1" applyAlignment="1">
      <alignment horizontal="left"/>
    </xf>
    <xf numFmtId="0" fontId="0" fillId="0" borderId="0" xfId="0" applyFill="1" applyBorder="1"/>
    <xf numFmtId="0" fontId="21" fillId="0" borderId="25" xfId="0" applyFont="1" applyBorder="1"/>
    <xf numFmtId="0" fontId="10" fillId="0" borderId="34" xfId="0" applyFont="1" applyBorder="1" applyAlignment="1">
      <alignment vertical="center" wrapText="1"/>
    </xf>
    <xf numFmtId="0" fontId="7" fillId="2" borderId="35" xfId="0" applyFont="1" applyFill="1" applyBorder="1" applyAlignment="1">
      <alignment horizontal="center" vertical="top" wrapText="1"/>
    </xf>
    <xf numFmtId="0" fontId="5" fillId="0" borderId="35" xfId="0" applyFont="1" applyBorder="1" applyAlignment="1">
      <alignment horizontal="center" vertical="top" wrapText="1"/>
    </xf>
    <xf numFmtId="3" fontId="0" fillId="0" borderId="35" xfId="0" applyNumberFormat="1" applyBorder="1"/>
    <xf numFmtId="3" fontId="5" fillId="0" borderId="35" xfId="0" applyNumberFormat="1" applyFont="1" applyBorder="1" applyAlignment="1">
      <alignment horizontal="center" vertical="top" wrapText="1"/>
    </xf>
    <xf numFmtId="0" fontId="0" fillId="0" borderId="58" xfId="0" applyBorder="1"/>
    <xf numFmtId="0" fontId="0" fillId="0" borderId="59" xfId="0" applyBorder="1"/>
    <xf numFmtId="0" fontId="7" fillId="2" borderId="59" xfId="0" applyFont="1" applyFill="1" applyBorder="1" applyAlignment="1">
      <alignment horizontal="center" vertical="top" wrapText="1"/>
    </xf>
    <xf numFmtId="0" fontId="7" fillId="2" borderId="60" xfId="0" applyFont="1" applyFill="1" applyBorder="1" applyAlignment="1">
      <alignment horizontal="center" vertical="top" wrapText="1"/>
    </xf>
    <xf numFmtId="0" fontId="7" fillId="2" borderId="62" xfId="0" applyFont="1" applyFill="1" applyBorder="1" applyAlignment="1">
      <alignment horizontal="center" vertical="top" wrapText="1"/>
    </xf>
    <xf numFmtId="0" fontId="7" fillId="2" borderId="63" xfId="0" applyFont="1" applyFill="1" applyBorder="1" applyAlignment="1">
      <alignment horizontal="center" vertical="top" wrapText="1"/>
    </xf>
    <xf numFmtId="0" fontId="5" fillId="0" borderId="62" xfId="0" applyFont="1" applyBorder="1" applyAlignment="1">
      <alignment horizontal="center" vertical="top" wrapText="1"/>
    </xf>
    <xf numFmtId="0" fontId="0" fillId="0" borderId="63" xfId="0" applyBorder="1"/>
    <xf numFmtId="0" fontId="7" fillId="0" borderId="62" xfId="0" applyFont="1" applyBorder="1" applyAlignment="1">
      <alignment horizontal="center" vertical="top" wrapText="1"/>
    </xf>
    <xf numFmtId="0" fontId="5" fillId="0" borderId="56" xfId="0" applyFont="1" applyBorder="1" applyAlignment="1">
      <alignment horizontal="center" vertical="top" wrapText="1"/>
    </xf>
    <xf numFmtId="0" fontId="5" fillId="0" borderId="69" xfId="0" applyFont="1" applyBorder="1" applyAlignment="1">
      <alignment horizontal="center" vertical="top" wrapText="1"/>
    </xf>
    <xf numFmtId="0" fontId="0" fillId="0" borderId="69" xfId="0" applyBorder="1"/>
    <xf numFmtId="0" fontId="0" fillId="0" borderId="57" xfId="0" applyBorder="1"/>
    <xf numFmtId="0" fontId="10" fillId="0" borderId="0" xfId="0" applyFont="1" applyAlignment="1">
      <alignment vertical="center"/>
    </xf>
    <xf numFmtId="0" fontId="77" fillId="0" borderId="0" xfId="0" applyFont="1" applyAlignment="1">
      <alignment vertical="center"/>
    </xf>
    <xf numFmtId="0" fontId="9" fillId="0" borderId="0" xfId="0" applyFont="1" applyAlignment="1">
      <alignment vertical="center"/>
    </xf>
    <xf numFmtId="0" fontId="21" fillId="0" borderId="0" xfId="0" applyFont="1" applyAlignment="1">
      <alignment vertical="center"/>
    </xf>
    <xf numFmtId="0" fontId="6" fillId="0" borderId="0" xfId="3" applyAlignment="1" applyProtection="1">
      <alignment vertical="center"/>
    </xf>
    <xf numFmtId="0" fontId="5" fillId="0" borderId="6" xfId="0" applyFont="1" applyBorder="1" applyAlignment="1">
      <alignment vertical="center" wrapText="1"/>
    </xf>
    <xf numFmtId="0" fontId="0" fillId="0" borderId="9" xfId="0" applyBorder="1" applyAlignment="1">
      <alignment vertical="top" wrapText="1"/>
    </xf>
    <xf numFmtId="0" fontId="78" fillId="0" borderId="9" xfId="0" applyFont="1" applyBorder="1" applyAlignment="1">
      <alignment vertical="center" wrapText="1"/>
    </xf>
    <xf numFmtId="0" fontId="5" fillId="0" borderId="112" xfId="0" applyFont="1" applyBorder="1" applyAlignment="1">
      <alignment vertical="center" wrapText="1"/>
    </xf>
    <xf numFmtId="0" fontId="0" fillId="0" borderId="112" xfId="0" applyBorder="1" applyAlignment="1">
      <alignment vertical="top" wrapText="1"/>
    </xf>
    <xf numFmtId="0" fontId="79" fillId="0" borderId="112" xfId="0" applyFont="1" applyBorder="1" applyAlignment="1">
      <alignment vertical="center" wrapText="1"/>
    </xf>
    <xf numFmtId="0" fontId="0" fillId="0" borderId="112" xfId="0" applyBorder="1" applyAlignment="1">
      <alignment vertical="center" wrapText="1"/>
    </xf>
    <xf numFmtId="0" fontId="5" fillId="0" borderId="112" xfId="0" applyFont="1" applyBorder="1" applyAlignment="1">
      <alignment vertical="top" wrapText="1"/>
    </xf>
    <xf numFmtId="0" fontId="5" fillId="0" borderId="17" xfId="0" applyFont="1" applyBorder="1" applyAlignment="1">
      <alignment vertical="center" wrapText="1"/>
    </xf>
    <xf numFmtId="0" fontId="79" fillId="0" borderId="17" xfId="0" applyFont="1" applyBorder="1" applyAlignment="1">
      <alignment vertical="center" wrapText="1"/>
    </xf>
    <xf numFmtId="0" fontId="80" fillId="0" borderId="0" xfId="0" applyFont="1"/>
    <xf numFmtId="0" fontId="81" fillId="0" borderId="0" xfId="0" applyFont="1" applyAlignment="1">
      <alignment vertical="center"/>
    </xf>
    <xf numFmtId="0" fontId="81" fillId="0" borderId="9" xfId="0" applyFont="1" applyBorder="1" applyAlignment="1">
      <alignment vertical="center" wrapText="1"/>
    </xf>
    <xf numFmtId="0" fontId="81" fillId="0" borderId="17" xfId="0" applyFont="1" applyBorder="1" applyAlignment="1">
      <alignment vertical="center" wrapText="1"/>
    </xf>
    <xf numFmtId="0" fontId="81" fillId="0" borderId="35" xfId="0" applyFont="1" applyBorder="1" applyAlignment="1">
      <alignment vertical="center" wrapText="1"/>
    </xf>
    <xf numFmtId="3" fontId="81" fillId="0" borderId="35" xfId="0" applyNumberFormat="1" applyFont="1" applyBorder="1" applyAlignment="1">
      <alignment vertical="center" wrapText="1"/>
    </xf>
    <xf numFmtId="0" fontId="81" fillId="0" borderId="19" xfId="0" applyFont="1" applyBorder="1" applyAlignment="1">
      <alignment vertical="center" wrapText="1"/>
    </xf>
    <xf numFmtId="0" fontId="81" fillId="0" borderId="18" xfId="0" applyFont="1" applyBorder="1" applyAlignment="1">
      <alignment vertical="center" wrapText="1"/>
    </xf>
    <xf numFmtId="0" fontId="82" fillId="0" borderId="0" xfId="0" applyFont="1" applyAlignment="1">
      <alignment vertical="center"/>
    </xf>
    <xf numFmtId="0" fontId="50" fillId="12" borderId="40" xfId="0" applyFont="1" applyFill="1" applyBorder="1" applyAlignment="1">
      <alignment horizontal="left"/>
    </xf>
    <xf numFmtId="0" fontId="50" fillId="12" borderId="41" xfId="0" applyFont="1" applyFill="1" applyBorder="1" applyAlignment="1">
      <alignment horizontal="center"/>
    </xf>
    <xf numFmtId="0" fontId="50" fillId="12" borderId="42" xfId="0" applyFont="1" applyFill="1" applyBorder="1" applyAlignment="1">
      <alignment horizontal="center"/>
    </xf>
    <xf numFmtId="0" fontId="50" fillId="12" borderId="35" xfId="0" applyFont="1" applyFill="1" applyBorder="1" applyAlignment="1">
      <alignment horizontal="center"/>
    </xf>
    <xf numFmtId="0" fontId="21" fillId="21" borderId="35" xfId="0" applyFont="1" applyFill="1" applyBorder="1" applyAlignment="1">
      <alignment vertical="top" wrapText="1"/>
    </xf>
    <xf numFmtId="0" fontId="21" fillId="21" borderId="35" xfId="0" applyFont="1" applyFill="1" applyBorder="1" applyAlignment="1">
      <alignment horizontal="center" vertical="top" wrapText="1"/>
    </xf>
    <xf numFmtId="0" fontId="21" fillId="5" borderId="35" xfId="0" applyFont="1" applyFill="1" applyBorder="1"/>
    <xf numFmtId="2" fontId="21" fillId="5" borderId="35" xfId="6" applyNumberFormat="1" applyFont="1" applyFill="1" applyBorder="1" applyAlignment="1">
      <alignment horizontal="center"/>
    </xf>
    <xf numFmtId="167" fontId="21" fillId="5" borderId="35" xfId="6" applyNumberFormat="1" applyFont="1" applyFill="1" applyBorder="1" applyAlignment="1">
      <alignment horizontal="center"/>
    </xf>
    <xf numFmtId="1" fontId="21" fillId="5" borderId="35" xfId="6" applyNumberFormat="1" applyFont="1" applyFill="1" applyBorder="1" applyAlignment="1">
      <alignment horizontal="center"/>
    </xf>
    <xf numFmtId="0" fontId="21" fillId="21" borderId="35" xfId="6" applyFont="1" applyFill="1" applyBorder="1" applyAlignment="1">
      <alignment horizontal="center"/>
    </xf>
    <xf numFmtId="1" fontId="21" fillId="21" borderId="35" xfId="6" applyNumberFormat="1" applyFont="1" applyFill="1" applyBorder="1" applyAlignment="1">
      <alignment horizontal="center"/>
    </xf>
    <xf numFmtId="179" fontId="21" fillId="5" borderId="35" xfId="6" applyNumberFormat="1" applyFont="1" applyFill="1" applyBorder="1" applyAlignment="1">
      <alignment horizontal="center"/>
    </xf>
    <xf numFmtId="0" fontId="21" fillId="21" borderId="35" xfId="6" applyFont="1" applyFill="1" applyBorder="1" applyAlignment="1">
      <alignment horizontal="center" vertical="top" wrapText="1"/>
    </xf>
    <xf numFmtId="0" fontId="0" fillId="19" borderId="0" xfId="0" applyFill="1"/>
    <xf numFmtId="0" fontId="84" fillId="21" borderId="35" xfId="0" applyFont="1" applyFill="1" applyBorder="1"/>
    <xf numFmtId="2" fontId="84" fillId="21" borderId="35" xfId="0" applyNumberFormat="1" applyFont="1" applyFill="1" applyBorder="1" applyAlignment="1">
      <alignment horizontal="center"/>
    </xf>
    <xf numFmtId="167" fontId="84" fillId="21" borderId="35" xfId="0" applyNumberFormat="1" applyFont="1" applyFill="1" applyBorder="1" applyAlignment="1">
      <alignment horizontal="center"/>
    </xf>
    <xf numFmtId="1" fontId="84" fillId="21" borderId="35" xfId="0" applyNumberFormat="1" applyFont="1" applyFill="1" applyBorder="1" applyAlignment="1">
      <alignment horizontal="center"/>
    </xf>
    <xf numFmtId="2" fontId="84" fillId="21" borderId="35" xfId="6" applyNumberFormat="1" applyFont="1" applyFill="1" applyBorder="1" applyAlignment="1">
      <alignment horizontal="center"/>
    </xf>
    <xf numFmtId="0" fontId="21" fillId="5" borderId="0" xfId="0" applyFont="1" applyFill="1"/>
    <xf numFmtId="0" fontId="21" fillId="22" borderId="35" xfId="0" applyFont="1" applyFill="1" applyBorder="1"/>
    <xf numFmtId="0" fontId="22" fillId="0" borderId="35" xfId="0" applyFont="1" applyBorder="1" applyAlignment="1">
      <alignment horizontal="left" vertical="top" wrapText="1"/>
    </xf>
    <xf numFmtId="0" fontId="22" fillId="7" borderId="35" xfId="0" applyFont="1" applyFill="1" applyBorder="1" applyAlignment="1">
      <alignment horizontal="left" vertical="top" wrapText="1"/>
    </xf>
    <xf numFmtId="0" fontId="21" fillId="21" borderId="35" xfId="0" applyFont="1" applyFill="1" applyBorder="1" applyAlignment="1">
      <alignment horizontal="left" vertical="top" wrapText="1"/>
    </xf>
    <xf numFmtId="0" fontId="22" fillId="5" borderId="35" xfId="0" applyFont="1" applyFill="1" applyBorder="1"/>
    <xf numFmtId="0" fontId="22" fillId="10" borderId="35" xfId="0" applyFont="1" applyFill="1" applyBorder="1" applyProtection="1">
      <protection locked="0"/>
    </xf>
    <xf numFmtId="3" fontId="22" fillId="24" borderId="35" xfId="0" applyNumberFormat="1" applyFont="1" applyFill="1" applyBorder="1" applyAlignment="1">
      <alignment horizontal="right"/>
    </xf>
    <xf numFmtId="3" fontId="22" fillId="5" borderId="35" xfId="0" applyNumberFormat="1" applyFont="1" applyFill="1" applyBorder="1" applyAlignment="1">
      <alignment horizontal="center"/>
    </xf>
    <xf numFmtId="3" fontId="22" fillId="3" borderId="35" xfId="0" applyNumberFormat="1" applyFont="1" applyFill="1" applyBorder="1"/>
    <xf numFmtId="0" fontId="88" fillId="21" borderId="35" xfId="0" applyFont="1" applyFill="1" applyBorder="1"/>
    <xf numFmtId="0" fontId="22" fillId="21" borderId="35" xfId="0" applyFont="1" applyFill="1" applyBorder="1"/>
    <xf numFmtId="0" fontId="22" fillId="21" borderId="35" xfId="0" applyFont="1" applyFill="1" applyBorder="1" applyProtection="1">
      <protection locked="0"/>
    </xf>
    <xf numFmtId="3" fontId="22" fillId="21" borderId="35" xfId="0" applyNumberFormat="1" applyFont="1" applyFill="1" applyBorder="1" applyAlignment="1">
      <alignment horizontal="right"/>
    </xf>
    <xf numFmtId="3" fontId="22" fillId="21" borderId="35" xfId="0" applyNumberFormat="1" applyFont="1" applyFill="1" applyBorder="1" applyAlignment="1">
      <alignment horizontal="center"/>
    </xf>
    <xf numFmtId="3" fontId="22" fillId="21" borderId="35" xfId="0" applyNumberFormat="1" applyFont="1" applyFill="1" applyBorder="1"/>
    <xf numFmtId="0" fontId="25" fillId="5" borderId="35" xfId="0" applyFont="1" applyFill="1" applyBorder="1"/>
    <xf numFmtId="0" fontId="21" fillId="21" borderId="35" xfId="0" applyFont="1" applyFill="1" applyBorder="1"/>
    <xf numFmtId="3" fontId="25" fillId="3" borderId="35" xfId="0" applyNumberFormat="1" applyFont="1" applyFill="1" applyBorder="1"/>
    <xf numFmtId="0" fontId="89" fillId="5" borderId="0" xfId="0" applyFont="1" applyFill="1" applyBorder="1"/>
    <xf numFmtId="0" fontId="90" fillId="5" borderId="0" xfId="0" applyFont="1" applyFill="1" applyBorder="1"/>
    <xf numFmtId="3" fontId="89" fillId="5" borderId="0" xfId="0" applyNumberFormat="1" applyFont="1" applyFill="1" applyBorder="1"/>
    <xf numFmtId="0" fontId="34" fillId="21" borderId="35" xfId="0" applyFont="1" applyFill="1" applyBorder="1" applyAlignment="1">
      <alignment horizontal="center" vertical="top" wrapText="1"/>
    </xf>
    <xf numFmtId="180" fontId="22" fillId="24" borderId="35" xfId="0" applyNumberFormat="1" applyFont="1" applyFill="1" applyBorder="1" applyAlignment="1">
      <alignment horizontal="right"/>
    </xf>
    <xf numFmtId="171" fontId="22" fillId="24" borderId="35" xfId="0" applyNumberFormat="1" applyFont="1" applyFill="1" applyBorder="1" applyAlignment="1">
      <alignment horizontal="right"/>
    </xf>
    <xf numFmtId="0" fontId="90" fillId="5" borderId="0" xfId="0" applyFont="1" applyFill="1"/>
    <xf numFmtId="0" fontId="90" fillId="5" borderId="0" xfId="0" applyFont="1" applyFill="1" applyAlignment="1">
      <alignment horizontal="center"/>
    </xf>
    <xf numFmtId="0" fontId="20" fillId="5" borderId="0" xfId="0" applyFont="1" applyFill="1"/>
    <xf numFmtId="0" fontId="0" fillId="5" borderId="0" xfId="0" applyFill="1" applyAlignment="1">
      <alignment horizontal="center"/>
    </xf>
    <xf numFmtId="0" fontId="91" fillId="15" borderId="35" xfId="0" applyFont="1" applyFill="1" applyBorder="1"/>
    <xf numFmtId="17" fontId="0" fillId="15" borderId="35" xfId="0" applyNumberFormat="1" applyFill="1" applyBorder="1" applyAlignment="1">
      <alignment horizontal="left"/>
    </xf>
    <xf numFmtId="0" fontId="25" fillId="5" borderId="0" xfId="0" applyFont="1" applyFill="1"/>
    <xf numFmtId="0" fontId="21" fillId="5" borderId="0" xfId="0" applyFont="1" applyFill="1" applyAlignment="1">
      <alignment horizontal="center"/>
    </xf>
    <xf numFmtId="0" fontId="21" fillId="5" borderId="0" xfId="0" applyFont="1" applyFill="1" applyAlignment="1">
      <alignment horizontal="left" vertical="top" wrapText="1"/>
    </xf>
    <xf numFmtId="0" fontId="29" fillId="5" borderId="0" xfId="4" applyFill="1" applyAlignment="1" applyProtection="1">
      <alignment horizontal="left" vertical="top" wrapText="1"/>
    </xf>
    <xf numFmtId="0" fontId="57" fillId="5" borderId="0" xfId="0" applyFont="1" applyFill="1"/>
    <xf numFmtId="0" fontId="59" fillId="5" borderId="0" xfId="0" applyFont="1" applyFill="1"/>
    <xf numFmtId="0" fontId="51" fillId="5" borderId="0" xfId="0" applyFont="1" applyFill="1" applyAlignment="1">
      <alignment horizontal="left"/>
    </xf>
    <xf numFmtId="0" fontId="92" fillId="12" borderId="35" xfId="0" applyFont="1" applyFill="1" applyBorder="1"/>
    <xf numFmtId="0" fontId="0" fillId="5" borderId="35" xfId="0" applyFill="1" applyBorder="1"/>
    <xf numFmtId="0" fontId="21" fillId="4" borderId="35" xfId="0" applyFont="1" applyFill="1" applyBorder="1" applyAlignment="1">
      <alignment horizontal="center"/>
    </xf>
    <xf numFmtId="4" fontId="21" fillId="5" borderId="35" xfId="0" applyNumberFormat="1" applyFont="1" applyFill="1" applyBorder="1" applyAlignment="1">
      <alignment horizontal="center"/>
    </xf>
    <xf numFmtId="173" fontId="21" fillId="5" borderId="35" xfId="0" applyNumberFormat="1" applyFont="1" applyFill="1" applyBorder="1" applyAlignment="1">
      <alignment horizontal="center"/>
    </xf>
    <xf numFmtId="3" fontId="21" fillId="5" borderId="35" xfId="0" applyNumberFormat="1" applyFont="1" applyFill="1" applyBorder="1" applyAlignment="1">
      <alignment horizontal="center"/>
    </xf>
    <xf numFmtId="172" fontId="21" fillId="5" borderId="35" xfId="0" applyNumberFormat="1" applyFont="1" applyFill="1" applyBorder="1" applyAlignment="1">
      <alignment horizontal="center"/>
    </xf>
    <xf numFmtId="171" fontId="21" fillId="5" borderId="35" xfId="0" applyNumberFormat="1" applyFont="1" applyFill="1" applyBorder="1" applyAlignment="1">
      <alignment horizontal="center"/>
    </xf>
    <xf numFmtId="181" fontId="21" fillId="5" borderId="35" xfId="0" applyNumberFormat="1" applyFont="1" applyFill="1" applyBorder="1" applyAlignment="1">
      <alignment horizontal="center"/>
    </xf>
    <xf numFmtId="182" fontId="21" fillId="5" borderId="35" xfId="0" applyNumberFormat="1" applyFont="1" applyFill="1" applyBorder="1" applyAlignment="1">
      <alignment horizontal="center"/>
    </xf>
    <xf numFmtId="0" fontId="51" fillId="5" borderId="0" xfId="0" applyFont="1" applyFill="1"/>
    <xf numFmtId="165" fontId="21" fillId="5" borderId="35" xfId="0" applyNumberFormat="1" applyFont="1" applyFill="1" applyBorder="1" applyAlignment="1">
      <alignment horizontal="center"/>
    </xf>
    <xf numFmtId="183" fontId="21" fillId="5" borderId="35" xfId="0" applyNumberFormat="1" applyFont="1" applyFill="1" applyBorder="1" applyAlignment="1">
      <alignment horizontal="center"/>
    </xf>
    <xf numFmtId="184" fontId="21" fillId="5" borderId="35" xfId="0" applyNumberFormat="1" applyFont="1" applyFill="1" applyBorder="1" applyAlignment="1">
      <alignment horizontal="center"/>
    </xf>
    <xf numFmtId="1" fontId="21" fillId="5" borderId="35" xfId="0" applyNumberFormat="1" applyFont="1" applyFill="1" applyBorder="1" applyAlignment="1">
      <alignment horizontal="center"/>
    </xf>
    <xf numFmtId="2" fontId="21" fillId="5" borderId="35" xfId="0" applyNumberFormat="1" applyFont="1" applyFill="1" applyBorder="1" applyAlignment="1">
      <alignment horizontal="center"/>
    </xf>
    <xf numFmtId="179" fontId="21" fillId="5" borderId="35" xfId="0" applyNumberFormat="1" applyFont="1" applyFill="1" applyBorder="1" applyAlignment="1">
      <alignment horizontal="center"/>
    </xf>
    <xf numFmtId="185" fontId="21" fillId="5" borderId="35" xfId="0" applyNumberFormat="1" applyFont="1" applyFill="1" applyBorder="1" applyAlignment="1">
      <alignment horizontal="center"/>
    </xf>
    <xf numFmtId="186" fontId="21" fillId="5" borderId="35" xfId="0" applyNumberFormat="1" applyFont="1" applyFill="1" applyBorder="1" applyAlignment="1">
      <alignment horizontal="center"/>
    </xf>
    <xf numFmtId="186" fontId="0" fillId="5" borderId="35" xfId="0" applyNumberFormat="1" applyFill="1" applyBorder="1" applyAlignment="1">
      <alignment horizontal="center"/>
    </xf>
    <xf numFmtId="0" fontId="0" fillId="5" borderId="35" xfId="0" applyFill="1" applyBorder="1" applyAlignment="1">
      <alignment horizontal="center"/>
    </xf>
    <xf numFmtId="167" fontId="21" fillId="5" borderId="35" xfId="0" applyNumberFormat="1" applyFont="1" applyFill="1" applyBorder="1" applyAlignment="1">
      <alignment horizontal="center"/>
    </xf>
    <xf numFmtId="17" fontId="21" fillId="15" borderId="35" xfId="0" applyNumberFormat="1" applyFont="1" applyFill="1" applyBorder="1" applyAlignment="1">
      <alignment horizontal="left"/>
    </xf>
    <xf numFmtId="0" fontId="93" fillId="5" borderId="0" xfId="0" applyFont="1" applyFill="1"/>
    <xf numFmtId="0" fontId="0" fillId="5" borderId="0" xfId="0" applyFill="1" applyAlignment="1">
      <alignment vertical="top"/>
    </xf>
    <xf numFmtId="0" fontId="94" fillId="5" borderId="0" xfId="0" applyFont="1" applyFill="1" applyAlignment="1">
      <alignment vertical="top"/>
    </xf>
    <xf numFmtId="0" fontId="59" fillId="5" borderId="0" xfId="0" applyFont="1" applyFill="1" applyAlignment="1">
      <alignment vertical="top" wrapText="1"/>
    </xf>
    <xf numFmtId="0" fontId="21" fillId="19" borderId="0" xfId="0" applyFont="1" applyFill="1" applyAlignment="1">
      <alignment vertical="top" wrapText="1"/>
    </xf>
    <xf numFmtId="0" fontId="21" fillId="5" borderId="0" xfId="0" applyFont="1" applyFill="1" applyAlignment="1">
      <alignment horizontal="center" vertical="top" wrapText="1"/>
    </xf>
    <xf numFmtId="0" fontId="25" fillId="19" borderId="0" xfId="0" applyFont="1" applyFill="1" applyAlignment="1">
      <alignment horizontal="left" vertical="top"/>
    </xf>
    <xf numFmtId="0" fontId="95" fillId="5" borderId="0" xfId="0" applyFont="1" applyFill="1" applyAlignment="1">
      <alignment vertical="top" wrapText="1"/>
    </xf>
    <xf numFmtId="0" fontId="94" fillId="5" borderId="0" xfId="0" applyFont="1" applyFill="1" applyAlignment="1">
      <alignment vertical="top" wrapText="1"/>
    </xf>
    <xf numFmtId="0" fontId="94" fillId="5" borderId="0" xfId="0" applyFont="1" applyFill="1" applyAlignment="1">
      <alignment horizontal="center" vertical="top" wrapText="1"/>
    </xf>
    <xf numFmtId="0" fontId="90" fillId="5" borderId="0" xfId="0" applyFont="1" applyFill="1" applyAlignment="1">
      <alignment vertical="top"/>
    </xf>
    <xf numFmtId="0" fontId="21" fillId="19" borderId="0" xfId="0" applyFont="1" applyFill="1" applyAlignment="1">
      <alignment vertical="top"/>
    </xf>
    <xf numFmtId="0" fontId="90" fillId="5" borderId="0" xfId="0" applyFont="1" applyFill="1" applyAlignment="1">
      <alignment horizontal="left" vertical="top" wrapText="1"/>
    </xf>
    <xf numFmtId="0" fontId="96" fillId="5" borderId="0" xfId="0" applyFont="1" applyFill="1" applyAlignment="1">
      <alignment horizontal="left" vertical="top" wrapText="1"/>
    </xf>
    <xf numFmtId="0" fontId="96" fillId="5" borderId="0" xfId="0" applyFont="1" applyFill="1" applyAlignment="1">
      <alignment horizontal="center" vertical="top" wrapText="1"/>
    </xf>
    <xf numFmtId="0" fontId="0" fillId="0" borderId="0" xfId="0" applyAlignment="1">
      <alignment vertical="top"/>
    </xf>
    <xf numFmtId="0" fontId="0" fillId="5" borderId="0" xfId="0" applyFill="1" applyAlignment="1"/>
    <xf numFmtId="0" fontId="25" fillId="5" borderId="0" xfId="0" applyFont="1" applyFill="1" applyAlignment="1">
      <alignment horizontal="left" vertical="top"/>
    </xf>
    <xf numFmtId="0" fontId="94" fillId="5" borderId="0" xfId="0" applyFont="1" applyFill="1" applyAlignment="1">
      <alignment horizontal="left" vertical="top" wrapText="1"/>
    </xf>
    <xf numFmtId="0" fontId="90" fillId="5" borderId="0" xfId="0" applyFont="1" applyFill="1" applyAlignment="1">
      <alignment horizontal="center" vertical="top" wrapText="1"/>
    </xf>
    <xf numFmtId="0" fontId="94" fillId="5" borderId="0" xfId="0" applyFont="1" applyFill="1" applyAlignment="1">
      <alignment horizontal="center" vertical="top"/>
    </xf>
    <xf numFmtId="0" fontId="98" fillId="5" borderId="0" xfId="0" applyFont="1" applyFill="1" applyAlignment="1">
      <alignment horizontal="left" vertical="top" wrapText="1"/>
    </xf>
    <xf numFmtId="0" fontId="98" fillId="5" borderId="0" xfId="0" applyFont="1" applyFill="1" applyAlignment="1">
      <alignment horizontal="center" vertical="top" wrapText="1"/>
    </xf>
    <xf numFmtId="0" fontId="89" fillId="5" borderId="0" xfId="0" applyFont="1" applyFill="1" applyAlignment="1">
      <alignment horizontal="left" vertical="top" wrapText="1"/>
    </xf>
    <xf numFmtId="0" fontId="89" fillId="5" borderId="0" xfId="0" applyFont="1" applyFill="1" applyAlignment="1">
      <alignment horizontal="center" vertical="top" wrapText="1"/>
    </xf>
    <xf numFmtId="0" fontId="99" fillId="5" borderId="0" xfId="0" applyFont="1" applyFill="1"/>
    <xf numFmtId="0" fontId="25" fillId="19" borderId="0" xfId="0" applyFont="1" applyFill="1" applyAlignment="1">
      <alignment horizontal="left" vertical="top" wrapText="1"/>
    </xf>
    <xf numFmtId="0" fontId="94" fillId="5" borderId="0" xfId="0" applyFont="1" applyFill="1"/>
    <xf numFmtId="0" fontId="90" fillId="5" borderId="0" xfId="0" applyFont="1" applyFill="1" applyAlignment="1">
      <alignment vertical="top" wrapText="1"/>
    </xf>
    <xf numFmtId="0" fontId="100" fillId="5" borderId="0" xfId="0" applyFont="1" applyFill="1" applyAlignment="1">
      <alignment vertical="top"/>
    </xf>
    <xf numFmtId="0" fontId="100" fillId="0" borderId="0" xfId="0" applyFont="1"/>
    <xf numFmtId="0" fontId="90" fillId="5" borderId="0" xfId="4" applyFont="1" applyFill="1" applyAlignment="1" applyProtection="1">
      <alignment horizontal="left" vertical="top" wrapText="1"/>
    </xf>
    <xf numFmtId="0" fontId="90" fillId="5" borderId="0" xfId="4" applyFont="1" applyFill="1" applyAlignment="1" applyProtection="1">
      <alignment horizontal="center" vertical="top" wrapText="1"/>
    </xf>
    <xf numFmtId="0" fontId="29" fillId="5" borderId="0" xfId="4" applyFill="1" applyAlignment="1" applyProtection="1">
      <alignment vertical="top"/>
    </xf>
    <xf numFmtId="0" fontId="0" fillId="19" borderId="0" xfId="0" applyFill="1" applyAlignment="1">
      <alignment horizontal="center"/>
    </xf>
    <xf numFmtId="0" fontId="101" fillId="5" borderId="0" xfId="0" applyFont="1" applyFill="1" applyAlignment="1">
      <alignment horizontal="left"/>
    </xf>
    <xf numFmtId="0" fontId="50" fillId="12" borderId="35" xfId="0" applyFont="1" applyFill="1" applyBorder="1" applyAlignment="1">
      <alignment horizontal="left"/>
    </xf>
    <xf numFmtId="0" fontId="50" fillId="12" borderId="41" xfId="0" applyFont="1" applyFill="1" applyBorder="1" applyAlignment="1">
      <alignment horizontal="left"/>
    </xf>
    <xf numFmtId="0" fontId="50" fillId="12" borderId="41" xfId="0" applyFont="1" applyFill="1" applyBorder="1" applyAlignment="1"/>
    <xf numFmtId="0" fontId="50" fillId="12" borderId="42" xfId="0" applyFont="1" applyFill="1" applyBorder="1" applyAlignment="1"/>
    <xf numFmtId="0" fontId="21" fillId="21" borderId="40" xfId="0" applyFont="1" applyFill="1" applyBorder="1" applyAlignment="1">
      <alignment vertical="top" wrapText="1"/>
    </xf>
    <xf numFmtId="0" fontId="0" fillId="21" borderId="35" xfId="0" applyFill="1" applyBorder="1" applyAlignment="1">
      <alignment horizontal="center" vertical="top" wrapText="1"/>
    </xf>
    <xf numFmtId="0" fontId="22" fillId="5" borderId="0" xfId="0" applyFont="1" applyFill="1"/>
    <xf numFmtId="0" fontId="22" fillId="5" borderId="35" xfId="0" quotePrefix="1" applyFont="1" applyFill="1" applyBorder="1" applyAlignment="1">
      <alignment vertical="center"/>
    </xf>
    <xf numFmtId="0" fontId="22" fillId="5" borderId="35" xfId="0" applyNumberFormat="1" applyFont="1" applyFill="1" applyBorder="1" applyAlignment="1">
      <alignment vertical="center"/>
    </xf>
    <xf numFmtId="2" fontId="22" fillId="5" borderId="35" xfId="0" applyNumberFormat="1" applyFont="1" applyFill="1" applyBorder="1" applyAlignment="1">
      <alignment horizontal="center" vertical="center"/>
    </xf>
    <xf numFmtId="179" fontId="22" fillId="5" borderId="35" xfId="0" applyNumberFormat="1" applyFont="1" applyFill="1" applyBorder="1" applyAlignment="1">
      <alignment horizontal="center" vertical="center"/>
    </xf>
    <xf numFmtId="0" fontId="22" fillId="5" borderId="0" xfId="0" applyFont="1" applyFill="1" applyAlignment="1">
      <alignment horizontal="center" vertical="center"/>
    </xf>
    <xf numFmtId="3" fontId="22" fillId="10" borderId="35" xfId="0" applyNumberFormat="1" applyFont="1" applyFill="1" applyBorder="1" applyAlignment="1" applyProtection="1">
      <alignment vertical="center"/>
      <protection locked="0"/>
    </xf>
    <xf numFmtId="0" fontId="22" fillId="5" borderId="35" xfId="0" applyFont="1" applyFill="1" applyBorder="1" applyAlignment="1">
      <alignment horizontal="center" vertical="center"/>
    </xf>
    <xf numFmtId="2" fontId="22" fillId="24" borderId="35" xfId="0" applyNumberFormat="1" applyFont="1" applyFill="1" applyBorder="1" applyAlignment="1">
      <alignment horizontal="center" vertical="center"/>
    </xf>
    <xf numFmtId="3" fontId="22" fillId="3" borderId="35" xfId="0" applyNumberFormat="1" applyFont="1" applyFill="1" applyBorder="1" applyAlignment="1">
      <alignment vertical="center"/>
    </xf>
    <xf numFmtId="0" fontId="22" fillId="19" borderId="35" xfId="0" applyFont="1" applyFill="1" applyBorder="1" applyAlignment="1">
      <alignment horizontal="left" vertical="center"/>
    </xf>
    <xf numFmtId="0" fontId="22" fillId="19" borderId="35" xfId="0" applyNumberFormat="1" applyFont="1" applyFill="1" applyBorder="1" applyAlignment="1">
      <alignment vertical="center"/>
    </xf>
    <xf numFmtId="2" fontId="22" fillId="19" borderId="35" xfId="0" applyNumberFormat="1" applyFont="1" applyFill="1" applyBorder="1" applyAlignment="1">
      <alignment horizontal="center" vertical="center"/>
    </xf>
    <xf numFmtId="165" fontId="22" fillId="19" borderId="35" xfId="0" applyNumberFormat="1" applyFont="1" applyFill="1" applyBorder="1" applyAlignment="1">
      <alignment horizontal="center" vertical="center"/>
    </xf>
    <xf numFmtId="179" fontId="22" fillId="19" borderId="35" xfId="0" applyNumberFormat="1" applyFont="1" applyFill="1" applyBorder="1" applyAlignment="1">
      <alignment horizontal="center" vertical="center"/>
    </xf>
    <xf numFmtId="0" fontId="16" fillId="5" borderId="0" xfId="0" applyFont="1" applyFill="1"/>
    <xf numFmtId="0" fontId="104" fillId="5" borderId="0" xfId="4" applyFont="1" applyFill="1" applyAlignment="1" applyProtection="1"/>
    <xf numFmtId="0" fontId="22" fillId="19" borderId="35" xfId="0" applyNumberFormat="1" applyFont="1" applyFill="1" applyBorder="1" applyAlignment="1">
      <alignment vertical="center" wrapText="1"/>
    </xf>
    <xf numFmtId="0" fontId="25" fillId="5" borderId="35" xfId="0" applyFont="1" applyFill="1" applyBorder="1" applyAlignment="1">
      <alignment vertical="center"/>
    </xf>
    <xf numFmtId="0" fontId="25" fillId="21" borderId="35" xfId="0" applyFont="1" applyFill="1" applyBorder="1" applyAlignment="1">
      <alignment horizontal="center" vertical="center"/>
    </xf>
    <xf numFmtId="0" fontId="25" fillId="5" borderId="0" xfId="0" applyFont="1" applyFill="1" applyAlignment="1">
      <alignment horizontal="center" vertical="center"/>
    </xf>
    <xf numFmtId="0" fontId="25" fillId="21" borderId="35" xfId="0" applyFont="1" applyFill="1" applyBorder="1" applyAlignment="1">
      <alignment vertical="center"/>
    </xf>
    <xf numFmtId="3" fontId="25" fillId="3" borderId="35" xfId="0" applyNumberFormat="1" applyFont="1" applyFill="1" applyBorder="1" applyAlignment="1">
      <alignment vertical="center"/>
    </xf>
    <xf numFmtId="0" fontId="21" fillId="5" borderId="0" xfId="4" applyFont="1" applyFill="1" applyAlignment="1" applyProtection="1">
      <alignment vertical="top" wrapText="1"/>
    </xf>
    <xf numFmtId="0" fontId="29" fillId="5" borderId="0" xfId="4" applyFont="1" applyFill="1" applyAlignment="1" applyProtection="1">
      <alignment vertical="top" wrapText="1"/>
    </xf>
    <xf numFmtId="0" fontId="29" fillId="5" borderId="0" xfId="4" applyFont="1" applyFill="1" applyAlignment="1" applyProtection="1">
      <alignment horizontal="center" vertical="top" wrapText="1"/>
    </xf>
    <xf numFmtId="0" fontId="83" fillId="5" borderId="0" xfId="0" applyFont="1" applyFill="1" applyAlignment="1">
      <alignment horizontal="right" vertical="top" wrapText="1"/>
    </xf>
    <xf numFmtId="0" fontId="105" fillId="5" borderId="0" xfId="0" applyFont="1" applyFill="1" applyAlignment="1">
      <alignment horizontal="right" vertical="top" wrapText="1"/>
    </xf>
    <xf numFmtId="0" fontId="90" fillId="0" borderId="0" xfId="0" applyFont="1"/>
    <xf numFmtId="0" fontId="106" fillId="0" borderId="0" xfId="0" applyFont="1"/>
    <xf numFmtId="0" fontId="107" fillId="0" borderId="0" xfId="0" applyFont="1"/>
    <xf numFmtId="0" fontId="0" fillId="0" borderId="29" xfId="0" applyBorder="1" applyAlignment="1">
      <alignment horizontal="center" wrapText="1"/>
    </xf>
    <xf numFmtId="0" fontId="107" fillId="0" borderId="19" xfId="0" applyFont="1" applyBorder="1" applyAlignment="1">
      <alignment horizontal="center" wrapText="1"/>
    </xf>
    <xf numFmtId="0" fontId="107" fillId="0" borderId="18" xfId="0" applyFont="1" applyBorder="1" applyAlignment="1">
      <alignment horizontal="center" wrapText="1"/>
    </xf>
    <xf numFmtId="0" fontId="107" fillId="0" borderId="87" xfId="0" applyFont="1" applyBorder="1" applyAlignment="1">
      <alignment horizontal="center" wrapText="1"/>
    </xf>
    <xf numFmtId="0" fontId="0" fillId="0" borderId="0" xfId="0" applyAlignment="1">
      <alignment horizontal="center" wrapText="1"/>
    </xf>
    <xf numFmtId="0" fontId="25" fillId="0" borderId="27" xfId="0" applyFont="1" applyBorder="1" applyAlignment="1">
      <alignment horizontal="center"/>
    </xf>
    <xf numFmtId="0" fontId="0" fillId="0" borderId="112" xfId="0" applyBorder="1" applyAlignment="1" applyProtection="1">
      <alignment horizontal="center"/>
      <protection locked="0"/>
    </xf>
    <xf numFmtId="165" fontId="26" fillId="0" borderId="6" xfId="0" applyNumberFormat="1" applyFont="1" applyBorder="1" applyAlignment="1" applyProtection="1">
      <alignment horizontal="center"/>
    </xf>
    <xf numFmtId="165" fontId="0" fillId="0" borderId="19" xfId="0" applyNumberFormat="1" applyBorder="1" applyAlignment="1">
      <alignment horizontal="center"/>
    </xf>
    <xf numFmtId="167" fontId="0" fillId="0" borderId="0" xfId="0" applyNumberFormat="1"/>
    <xf numFmtId="0" fontId="25" fillId="0" borderId="29" xfId="0" applyFont="1" applyBorder="1" applyAlignment="1">
      <alignment horizontal="center"/>
    </xf>
    <xf numFmtId="0" fontId="0" fillId="0" borderId="19" xfId="0" applyBorder="1" applyAlignment="1" applyProtection="1">
      <alignment horizontal="center"/>
      <protection locked="0"/>
    </xf>
    <xf numFmtId="165" fontId="26" fillId="0" borderId="18" xfId="0" applyNumberFormat="1" applyFont="1" applyBorder="1" applyAlignment="1" applyProtection="1">
      <alignment horizontal="center"/>
    </xf>
    <xf numFmtId="0" fontId="25" fillId="0" borderId="25" xfId="0" applyFont="1" applyBorder="1" applyAlignment="1">
      <alignment horizontal="center"/>
    </xf>
    <xf numFmtId="0" fontId="0" fillId="0" borderId="17" xfId="0" applyBorder="1" applyAlignment="1" applyProtection="1">
      <alignment horizontal="center"/>
      <protection locked="0"/>
    </xf>
    <xf numFmtId="0" fontId="107" fillId="10" borderId="19" xfId="0" applyFont="1" applyFill="1" applyBorder="1" applyAlignment="1">
      <alignment horizontal="right"/>
    </xf>
    <xf numFmtId="165" fontId="0" fillId="10" borderId="19" xfId="0" applyNumberFormat="1" applyFill="1" applyBorder="1" applyAlignment="1">
      <alignment horizontal="center"/>
    </xf>
    <xf numFmtId="165" fontId="0" fillId="10" borderId="18" xfId="0" applyNumberFormat="1" applyFill="1" applyBorder="1" applyAlignment="1">
      <alignment horizontal="center"/>
    </xf>
    <xf numFmtId="0" fontId="22" fillId="0" borderId="0" xfId="0" applyFont="1"/>
    <xf numFmtId="0" fontId="109" fillId="0" borderId="0" xfId="0" applyFont="1"/>
    <xf numFmtId="0" fontId="110" fillId="0" borderId="0" xfId="0" applyFont="1"/>
    <xf numFmtId="0" fontId="1" fillId="0" borderId="0" xfId="0" applyFont="1"/>
    <xf numFmtId="0" fontId="111" fillId="5" borderId="0" xfId="0" applyFont="1" applyFill="1"/>
    <xf numFmtId="0" fontId="1" fillId="0" borderId="0" xfId="0" applyFont="1" applyAlignment="1">
      <alignment wrapText="1"/>
    </xf>
    <xf numFmtId="0" fontId="0" fillId="26" borderId="0" xfId="0" applyFill="1"/>
    <xf numFmtId="0" fontId="1" fillId="26" borderId="0" xfId="0" applyFont="1" applyFill="1"/>
    <xf numFmtId="0" fontId="0" fillId="27" borderId="0" xfId="0" applyFill="1"/>
    <xf numFmtId="0" fontId="1" fillId="27" borderId="0" xfId="0" applyFont="1" applyFill="1"/>
    <xf numFmtId="0" fontId="1" fillId="28" borderId="0" xfId="0" applyFont="1" applyFill="1" applyAlignment="1">
      <alignment wrapText="1"/>
    </xf>
    <xf numFmtId="0" fontId="1" fillId="28" borderId="0" xfId="0" applyFont="1" applyFill="1"/>
    <xf numFmtId="0" fontId="0" fillId="28" borderId="0" xfId="0" applyFill="1"/>
    <xf numFmtId="3" fontId="0" fillId="0" borderId="0" xfId="0" applyNumberFormat="1" applyAlignment="1">
      <alignment horizontal="center"/>
    </xf>
    <xf numFmtId="17" fontId="0" fillId="0" borderId="0" xfId="0" quotePrefix="1" applyNumberFormat="1" applyBorder="1" applyAlignment="1">
      <alignment horizontal="center"/>
    </xf>
    <xf numFmtId="0" fontId="0" fillId="0" borderId="10" xfId="0" quotePrefix="1" applyBorder="1" applyAlignment="1">
      <alignment horizontal="center"/>
    </xf>
    <xf numFmtId="0" fontId="112" fillId="29" borderId="35" xfId="0" applyFont="1" applyFill="1" applyBorder="1"/>
    <xf numFmtId="0" fontId="0" fillId="29" borderId="35" xfId="0" applyFill="1" applyBorder="1"/>
    <xf numFmtId="0" fontId="112" fillId="29" borderId="35" xfId="0" applyFont="1" applyFill="1" applyBorder="1" applyAlignment="1">
      <alignment wrapText="1"/>
    </xf>
    <xf numFmtId="0" fontId="112" fillId="29" borderId="35" xfId="0" applyFont="1" applyFill="1" applyBorder="1" applyAlignment="1">
      <alignment horizontal="center" vertical="center" wrapText="1"/>
    </xf>
    <xf numFmtId="0" fontId="112" fillId="20" borderId="35" xfId="0" applyFont="1" applyFill="1" applyBorder="1" applyAlignment="1">
      <alignment vertical="center" wrapText="1"/>
    </xf>
    <xf numFmtId="0" fontId="112" fillId="20" borderId="35" xfId="0" applyFont="1" applyFill="1" applyBorder="1" applyAlignment="1">
      <alignment horizontal="right" vertical="center" wrapText="1"/>
    </xf>
    <xf numFmtId="3" fontId="112" fillId="20" borderId="35" xfId="0" applyNumberFormat="1" applyFont="1" applyFill="1" applyBorder="1" applyAlignment="1">
      <alignment horizontal="right" vertical="center" wrapText="1"/>
    </xf>
    <xf numFmtId="0" fontId="109" fillId="0" borderId="0" xfId="0" applyFont="1" applyAlignment="1">
      <alignment wrapText="1"/>
    </xf>
    <xf numFmtId="3" fontId="109" fillId="0" borderId="0" xfId="0" applyNumberFormat="1" applyFont="1"/>
    <xf numFmtId="0" fontId="112" fillId="20" borderId="0" xfId="0" applyFont="1" applyFill="1" applyBorder="1" applyAlignment="1">
      <alignment vertical="center" wrapText="1"/>
    </xf>
    <xf numFmtId="0" fontId="112" fillId="20" borderId="0" xfId="0" applyFont="1" applyFill="1" applyBorder="1" applyAlignment="1">
      <alignment horizontal="right" vertical="center" wrapText="1"/>
    </xf>
    <xf numFmtId="3" fontId="112" fillId="20" borderId="0" xfId="0" applyNumberFormat="1" applyFont="1" applyFill="1" applyBorder="1" applyAlignment="1">
      <alignment horizontal="right" vertical="center" wrapText="1"/>
    </xf>
    <xf numFmtId="0" fontId="113" fillId="0" borderId="0" xfId="0" applyNumberFormat="1" applyFont="1" applyAlignment="1"/>
    <xf numFmtId="0" fontId="1" fillId="0" borderId="0" xfId="0" applyNumberFormat="1" applyFont="1" applyAlignment="1"/>
    <xf numFmtId="0" fontId="25" fillId="0" borderId="0" xfId="0" applyNumberFormat="1" applyFont="1" applyAlignment="1"/>
    <xf numFmtId="0" fontId="25" fillId="0" borderId="114" xfId="0" applyNumberFormat="1" applyFont="1" applyBorder="1" applyAlignment="1"/>
    <xf numFmtId="0" fontId="0" fillId="0" borderId="115" xfId="0" applyNumberFormat="1" applyBorder="1"/>
    <xf numFmtId="0" fontId="114" fillId="0" borderId="114" xfId="0" applyNumberFormat="1" applyFont="1" applyBorder="1" applyAlignment="1"/>
    <xf numFmtId="0" fontId="0" fillId="0" borderId="116" xfId="0" applyNumberFormat="1" applyBorder="1"/>
    <xf numFmtId="0" fontId="25" fillId="0" borderId="114" xfId="0" applyNumberFormat="1" applyFont="1" applyBorder="1" applyAlignment="1">
      <alignment horizontal="center"/>
    </xf>
    <xf numFmtId="0" fontId="25" fillId="0" borderId="114" xfId="0" applyNumberFormat="1" applyFont="1" applyBorder="1" applyAlignment="1">
      <alignment horizontal="left"/>
    </xf>
    <xf numFmtId="0" fontId="25" fillId="0" borderId="115" xfId="0" applyNumberFormat="1" applyFont="1" applyBorder="1" applyAlignment="1">
      <alignment horizontal="center"/>
    </xf>
    <xf numFmtId="165" fontId="1" fillId="0" borderId="114" xfId="0" applyNumberFormat="1" applyFont="1" applyBorder="1" applyAlignment="1">
      <alignment horizontal="center"/>
    </xf>
    <xf numFmtId="165" fontId="1" fillId="0" borderId="115" xfId="0" applyNumberFormat="1" applyFont="1" applyBorder="1" applyAlignment="1">
      <alignment horizontal="center"/>
    </xf>
    <xf numFmtId="0" fontId="1" fillId="0" borderId="0" xfId="0" applyNumberFormat="1" applyFont="1" applyAlignment="1">
      <alignment horizontal="left"/>
    </xf>
    <xf numFmtId="0" fontId="114" fillId="0" borderId="115" xfId="0" applyNumberFormat="1" applyFont="1" applyBorder="1" applyAlignment="1"/>
    <xf numFmtId="0" fontId="1" fillId="0" borderId="114" xfId="0" applyNumberFormat="1" applyFont="1" applyBorder="1" applyAlignment="1">
      <alignment horizontal="center"/>
    </xf>
    <xf numFmtId="0" fontId="115" fillId="0" borderId="116" xfId="0" applyNumberFormat="1" applyFont="1" applyBorder="1" applyAlignment="1"/>
    <xf numFmtId="0" fontId="114" fillId="0" borderId="116" xfId="0" applyNumberFormat="1" applyFont="1" applyBorder="1" applyAlignment="1"/>
    <xf numFmtId="0" fontId="115" fillId="0" borderId="0" xfId="0" applyNumberFormat="1" applyFont="1" applyAlignment="1"/>
    <xf numFmtId="0" fontId="0" fillId="0" borderId="114" xfId="0" applyNumberFormat="1" applyBorder="1"/>
    <xf numFmtId="0" fontId="111" fillId="26" borderId="0" xfId="0" applyFont="1" applyFill="1"/>
    <xf numFmtId="0" fontId="6" fillId="20" borderId="35" xfId="3" applyFill="1" applyBorder="1" applyAlignment="1" applyProtection="1">
      <alignment vertical="center" wrapText="1"/>
    </xf>
    <xf numFmtId="0" fontId="71" fillId="29" borderId="35" xfId="0" applyFont="1" applyFill="1" applyBorder="1" applyAlignment="1">
      <alignment vertical="center" wrapText="1"/>
    </xf>
    <xf numFmtId="3" fontId="5" fillId="0" borderId="3" xfId="0" applyNumberFormat="1"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116" fillId="0" borderId="0" xfId="0" applyFont="1" applyAlignment="1">
      <alignment vertical="center"/>
    </xf>
    <xf numFmtId="0" fontId="0" fillId="0" borderId="0" xfId="0" applyAlignment="1">
      <alignment vertical="center"/>
    </xf>
    <xf numFmtId="0" fontId="0" fillId="0" borderId="0" xfId="0" applyAlignment="1">
      <alignment vertical="center" readingOrder="1"/>
    </xf>
    <xf numFmtId="0" fontId="18" fillId="0" borderId="88" xfId="0" applyFont="1" applyBorder="1" applyAlignment="1">
      <alignment vertical="top" wrapText="1"/>
    </xf>
    <xf numFmtId="0" fontId="18" fillId="0" borderId="89" xfId="0" applyFont="1" applyBorder="1" applyAlignment="1">
      <alignment vertical="top" wrapText="1"/>
    </xf>
    <xf numFmtId="0" fontId="18" fillId="0" borderId="90" xfId="0" applyFont="1" applyBorder="1" applyAlignment="1">
      <alignment vertical="top" wrapText="1"/>
    </xf>
    <xf numFmtId="0" fontId="10" fillId="2" borderId="91" xfId="0" applyFont="1" applyFill="1" applyBorder="1" applyAlignment="1">
      <alignment vertical="top" wrapText="1"/>
    </xf>
    <xf numFmtId="0" fontId="10" fillId="2" borderId="92" xfId="0" applyFont="1" applyFill="1" applyBorder="1" applyAlignment="1">
      <alignment vertical="top" wrapText="1"/>
    </xf>
    <xf numFmtId="0" fontId="10" fillId="2" borderId="93" xfId="0" applyFont="1" applyFill="1" applyBorder="1" applyAlignment="1">
      <alignment vertical="top" wrapText="1"/>
    </xf>
    <xf numFmtId="0" fontId="10" fillId="2" borderId="94" xfId="0" applyFont="1" applyFill="1" applyBorder="1" applyAlignment="1">
      <alignment vertical="top" wrapText="1"/>
    </xf>
    <xf numFmtId="0" fontId="18" fillId="0" borderId="95" xfId="0" applyFont="1" applyBorder="1" applyAlignment="1">
      <alignment vertical="top" wrapText="1"/>
    </xf>
    <xf numFmtId="0" fontId="18" fillId="0" borderId="96" xfId="0" applyFont="1" applyBorder="1" applyAlignment="1">
      <alignment vertical="top" wrapText="1"/>
    </xf>
    <xf numFmtId="0" fontId="18" fillId="0" borderId="97" xfId="0" applyFont="1" applyBorder="1" applyAlignment="1">
      <alignment vertical="top" wrapText="1"/>
    </xf>
    <xf numFmtId="0" fontId="8" fillId="0" borderId="98" xfId="0" applyFont="1" applyBorder="1" applyAlignment="1">
      <alignment vertical="top" wrapText="1"/>
    </xf>
    <xf numFmtId="0" fontId="8" fillId="0" borderId="99" xfId="0" applyFont="1" applyBorder="1" applyAlignment="1">
      <alignment vertical="top" wrapText="1"/>
    </xf>
    <xf numFmtId="0" fontId="8" fillId="0" borderId="100" xfId="0" applyFont="1" applyBorder="1" applyAlignment="1">
      <alignment vertical="top" wrapText="1"/>
    </xf>
    <xf numFmtId="0" fontId="68" fillId="17" borderId="104" xfId="0" applyFont="1" applyFill="1" applyBorder="1" applyAlignment="1">
      <alignment horizontal="center" vertical="center" wrapText="1"/>
    </xf>
    <xf numFmtId="0" fontId="68" fillId="17" borderId="105" xfId="0" applyFont="1" applyFill="1" applyBorder="1" applyAlignment="1">
      <alignment horizontal="center" vertical="center" wrapText="1"/>
    </xf>
    <xf numFmtId="0" fontId="68" fillId="17" borderId="107" xfId="0" applyFont="1" applyFill="1" applyBorder="1" applyAlignment="1">
      <alignment horizontal="center" vertical="center" wrapText="1"/>
    </xf>
    <xf numFmtId="0" fontId="68" fillId="17" borderId="108" xfId="0" applyFont="1" applyFill="1" applyBorder="1" applyAlignment="1">
      <alignment horizontal="center" vertical="center" wrapText="1"/>
    </xf>
    <xf numFmtId="0" fontId="71" fillId="29" borderId="35" xfId="0" applyFont="1" applyFill="1" applyBorder="1" applyAlignment="1">
      <alignment horizontal="center" vertical="center" wrapText="1"/>
    </xf>
    <xf numFmtId="0" fontId="34" fillId="0" borderId="29" xfId="10" applyFont="1" applyFill="1" applyBorder="1" applyAlignment="1" applyProtection="1">
      <alignment horizontal="center"/>
    </xf>
    <xf numFmtId="0" fontId="34" fillId="0" borderId="30" xfId="10" applyFont="1" applyFill="1" applyBorder="1" applyAlignment="1" applyProtection="1">
      <alignment horizontal="center"/>
    </xf>
    <xf numFmtId="0" fontId="34" fillId="0" borderId="23" xfId="10" applyFont="1" applyFill="1" applyBorder="1" applyAlignment="1" applyProtection="1">
      <alignment horizontal="center"/>
    </xf>
    <xf numFmtId="0" fontId="34" fillId="0" borderId="24" xfId="10" applyFont="1" applyFill="1" applyBorder="1" applyAlignment="1" applyProtection="1">
      <alignment horizontal="center"/>
    </xf>
    <xf numFmtId="0" fontId="22" fillId="0" borderId="65" xfId="0" applyFont="1" applyBorder="1" applyAlignment="1">
      <alignment horizontal="left" vertical="top" wrapText="1"/>
    </xf>
    <xf numFmtId="0" fontId="22" fillId="0" borderId="113" xfId="0" applyFont="1" applyBorder="1" applyAlignment="1">
      <alignment horizontal="left" vertical="top" wrapText="1"/>
    </xf>
    <xf numFmtId="0" fontId="22" fillId="0" borderId="74" xfId="0" applyFont="1" applyBorder="1" applyAlignment="1">
      <alignment horizontal="left" vertical="top" wrapText="1"/>
    </xf>
    <xf numFmtId="0" fontId="22" fillId="0" borderId="35" xfId="0" applyFont="1" applyBorder="1" applyAlignment="1">
      <alignment horizontal="left" vertical="top" wrapText="1"/>
    </xf>
    <xf numFmtId="0" fontId="21" fillId="22" borderId="35" xfId="0" applyFont="1" applyFill="1" applyBorder="1" applyAlignment="1">
      <alignment horizontal="left" vertical="top"/>
    </xf>
    <xf numFmtId="0" fontId="21" fillId="22" borderId="35" xfId="0" applyFont="1" applyFill="1" applyBorder="1" applyAlignment="1">
      <alignment horizontal="center"/>
    </xf>
    <xf numFmtId="0" fontId="5" fillId="0" borderId="87" xfId="0" applyFont="1" applyBorder="1" applyAlignment="1">
      <alignment vertical="center" wrapText="1"/>
    </xf>
    <xf numFmtId="0" fontId="5" fillId="0" borderId="112" xfId="0" applyFont="1" applyBorder="1" applyAlignment="1">
      <alignment vertical="center" wrapText="1"/>
    </xf>
    <xf numFmtId="0" fontId="5" fillId="0" borderId="17" xfId="0" applyFont="1" applyBorder="1" applyAlignment="1">
      <alignment vertical="center" wrapText="1"/>
    </xf>
    <xf numFmtId="0" fontId="21" fillId="19" borderId="0" xfId="0" applyFont="1" applyFill="1" applyAlignment="1">
      <alignment vertical="top" wrapText="1"/>
    </xf>
    <xf numFmtId="0" fontId="50" fillId="12" borderId="35" xfId="0" applyFont="1" applyFill="1" applyBorder="1" applyAlignment="1">
      <alignment horizontal="left"/>
    </xf>
    <xf numFmtId="0" fontId="81" fillId="0" borderId="35" xfId="0" applyFont="1" applyBorder="1" applyAlignment="1">
      <alignment vertical="center" wrapText="1"/>
    </xf>
    <xf numFmtId="0" fontId="10" fillId="3" borderId="91" xfId="0" applyFont="1" applyFill="1" applyBorder="1" applyAlignment="1">
      <alignment vertical="top" wrapText="1"/>
    </xf>
    <xf numFmtId="0" fontId="10" fillId="3" borderId="2" xfId="0" applyFont="1" applyFill="1" applyBorder="1" applyAlignment="1">
      <alignment vertical="top" wrapText="1"/>
    </xf>
    <xf numFmtId="0" fontId="10" fillId="3" borderId="93" xfId="0" applyFont="1" applyFill="1" applyBorder="1" applyAlignment="1">
      <alignment vertical="top" wrapText="1"/>
    </xf>
    <xf numFmtId="0" fontId="10" fillId="3" borderId="100" xfId="0" applyFont="1" applyFill="1" applyBorder="1" applyAlignment="1">
      <alignment vertical="top" wrapText="1"/>
    </xf>
    <xf numFmtId="0" fontId="10" fillId="0" borderId="88" xfId="0" applyFont="1" applyBorder="1" applyAlignment="1">
      <alignment vertical="top" wrapText="1"/>
    </xf>
    <xf numFmtId="0" fontId="10" fillId="0" borderId="89" xfId="0" applyFont="1" applyBorder="1" applyAlignment="1">
      <alignment vertical="top" wrapText="1"/>
    </xf>
    <xf numFmtId="0" fontId="10" fillId="0" borderId="90" xfId="0" applyFont="1" applyBorder="1" applyAlignment="1">
      <alignment vertical="top" wrapText="1"/>
    </xf>
    <xf numFmtId="0" fontId="7" fillId="2" borderId="91" xfId="0" applyFont="1" applyFill="1" applyBorder="1" applyAlignment="1">
      <alignment vertical="top" wrapText="1"/>
    </xf>
    <xf numFmtId="0" fontId="7" fillId="2" borderId="92" xfId="0" applyFont="1" applyFill="1" applyBorder="1" applyAlignment="1">
      <alignment vertical="top" wrapText="1"/>
    </xf>
    <xf numFmtId="0" fontId="7" fillId="2" borderId="93" xfId="0" applyFont="1" applyFill="1" applyBorder="1" applyAlignment="1">
      <alignment vertical="top" wrapText="1"/>
    </xf>
    <xf numFmtId="0" fontId="7" fillId="2" borderId="94" xfId="0" applyFont="1" applyFill="1" applyBorder="1" applyAlignment="1">
      <alignment vertical="top" wrapText="1"/>
    </xf>
    <xf numFmtId="0" fontId="7" fillId="0" borderId="109" xfId="0" applyFont="1" applyBorder="1" applyAlignment="1">
      <alignment vertical="center" wrapText="1"/>
    </xf>
    <xf numFmtId="0" fontId="7" fillId="0" borderId="110" xfId="0" applyFont="1" applyBorder="1" applyAlignment="1">
      <alignment vertical="center" wrapText="1"/>
    </xf>
    <xf numFmtId="0" fontId="7" fillId="0" borderId="111" xfId="0" applyFont="1" applyBorder="1" applyAlignment="1">
      <alignment vertical="center" wrapText="1"/>
    </xf>
    <xf numFmtId="0" fontId="5" fillId="0" borderId="87" xfId="0" applyFont="1" applyBorder="1" applyAlignment="1">
      <alignment vertical="top" wrapText="1"/>
    </xf>
    <xf numFmtId="0" fontId="5" fillId="0" borderId="17" xfId="0" applyFont="1" applyBorder="1" applyAlignment="1">
      <alignment vertical="top" wrapText="1"/>
    </xf>
    <xf numFmtId="0" fontId="5" fillId="0" borderId="87" xfId="0" quotePrefix="1" applyFont="1" applyBorder="1" applyAlignment="1">
      <alignment vertical="top" wrapText="1"/>
    </xf>
    <xf numFmtId="0" fontId="5" fillId="0" borderId="93" xfId="0" applyFont="1" applyBorder="1" applyAlignment="1">
      <alignment vertical="center" wrapText="1"/>
    </xf>
    <xf numFmtId="0" fontId="5" fillId="0" borderId="94" xfId="0" applyFont="1" applyBorder="1" applyAlignment="1">
      <alignment vertical="center" wrapText="1"/>
    </xf>
    <xf numFmtId="0" fontId="5" fillId="0" borderId="101" xfId="0" applyFont="1" applyBorder="1" applyAlignment="1">
      <alignment vertical="center" wrapText="1"/>
    </xf>
    <xf numFmtId="0" fontId="5" fillId="0" borderId="102" xfId="0" applyFont="1" applyBorder="1" applyAlignment="1">
      <alignment vertical="center" wrapText="1"/>
    </xf>
    <xf numFmtId="0" fontId="5" fillId="2" borderId="91" xfId="0" applyFont="1" applyFill="1" applyBorder="1" applyAlignment="1">
      <alignment vertical="top" wrapText="1"/>
    </xf>
    <xf numFmtId="0" fontId="5" fillId="2" borderId="92" xfId="0" applyFont="1" applyFill="1" applyBorder="1" applyAlignment="1">
      <alignment vertical="top" wrapText="1"/>
    </xf>
    <xf numFmtId="0" fontId="5" fillId="2" borderId="93" xfId="0" applyFont="1" applyFill="1" applyBorder="1" applyAlignment="1">
      <alignment vertical="top" wrapText="1"/>
    </xf>
    <xf numFmtId="0" fontId="5" fillId="2" borderId="94" xfId="0" applyFont="1" applyFill="1" applyBorder="1" applyAlignment="1">
      <alignment vertical="top" wrapText="1"/>
    </xf>
    <xf numFmtId="0" fontId="5" fillId="2" borderId="101" xfId="0" applyFont="1" applyFill="1" applyBorder="1" applyAlignment="1">
      <alignment vertical="top" wrapText="1"/>
    </xf>
    <xf numFmtId="0" fontId="5" fillId="2" borderId="102" xfId="0" applyFont="1" applyFill="1" applyBorder="1" applyAlignment="1">
      <alignment vertical="top" wrapText="1"/>
    </xf>
    <xf numFmtId="0" fontId="5" fillId="0" borderId="91" xfId="0" applyFont="1" applyBorder="1" applyAlignment="1">
      <alignment vertical="center" wrapText="1"/>
    </xf>
    <xf numFmtId="0" fontId="5" fillId="0" borderId="92" xfId="0" applyFont="1" applyBorder="1" applyAlignment="1">
      <alignment vertical="center" wrapText="1"/>
    </xf>
    <xf numFmtId="0" fontId="5" fillId="0" borderId="35" xfId="0" applyFont="1" applyBorder="1" applyAlignment="1">
      <alignment horizontal="center" vertical="top" wrapText="1"/>
    </xf>
    <xf numFmtId="0" fontId="21" fillId="21" borderId="40" xfId="0" applyFont="1" applyFill="1" applyBorder="1" applyAlignment="1">
      <alignment vertical="top" wrapText="1"/>
    </xf>
    <xf numFmtId="0" fontId="21" fillId="21" borderId="41" xfId="0" applyFont="1" applyFill="1" applyBorder="1" applyAlignment="1">
      <alignment vertical="top" wrapText="1"/>
    </xf>
    <xf numFmtId="0" fontId="21" fillId="21" borderId="42" xfId="0" applyFont="1" applyFill="1" applyBorder="1" applyAlignment="1">
      <alignment vertical="top" wrapText="1"/>
    </xf>
    <xf numFmtId="0" fontId="21" fillId="5" borderId="0" xfId="5" applyFill="1" applyBorder="1" applyAlignment="1">
      <alignment horizontal="left"/>
    </xf>
    <xf numFmtId="0" fontId="33" fillId="5" borderId="40" xfId="5" applyFont="1" applyFill="1" applyBorder="1" applyAlignment="1"/>
    <xf numFmtId="0" fontId="33" fillId="5" borderId="41" xfId="5" applyFont="1" applyFill="1" applyBorder="1" applyAlignment="1"/>
    <xf numFmtId="0" fontId="33" fillId="5" borderId="42" xfId="5" applyFont="1" applyFill="1" applyBorder="1" applyAlignment="1"/>
    <xf numFmtId="0" fontId="33" fillId="5" borderId="40" xfId="5" applyFont="1" applyFill="1" applyBorder="1" applyAlignment="1">
      <alignment horizontal="left"/>
    </xf>
    <xf numFmtId="0" fontId="33" fillId="5" borderId="41" xfId="5" applyFont="1" applyFill="1" applyBorder="1" applyAlignment="1">
      <alignment horizontal="left"/>
    </xf>
    <xf numFmtId="0" fontId="33" fillId="5" borderId="42" xfId="5" applyFont="1" applyFill="1" applyBorder="1" applyAlignment="1">
      <alignment horizontal="left"/>
    </xf>
    <xf numFmtId="0" fontId="33" fillId="5" borderId="41" xfId="5" applyFont="1" applyFill="1" applyBorder="1" applyAlignment="1">
      <alignment horizontal="center"/>
    </xf>
    <xf numFmtId="0" fontId="33" fillId="5" borderId="42" xfId="5" applyFont="1" applyFill="1" applyBorder="1" applyAlignment="1">
      <alignment horizontal="center"/>
    </xf>
    <xf numFmtId="0" fontId="25" fillId="13" borderId="40" xfId="5" applyFont="1" applyFill="1" applyBorder="1" applyAlignment="1">
      <alignment horizontal="center"/>
    </xf>
    <xf numFmtId="0" fontId="25" fillId="13" borderId="41" xfId="5" applyFont="1" applyFill="1" applyBorder="1" applyAlignment="1">
      <alignment horizontal="center"/>
    </xf>
    <xf numFmtId="0" fontId="25" fillId="13" borderId="42" xfId="5" applyFont="1" applyFill="1" applyBorder="1" applyAlignment="1">
      <alignment horizontal="center"/>
    </xf>
    <xf numFmtId="0" fontId="21" fillId="5" borderId="0" xfId="5" applyFont="1" applyFill="1" applyBorder="1" applyAlignment="1">
      <alignment horizontal="left"/>
    </xf>
    <xf numFmtId="0" fontId="37" fillId="14" borderId="40" xfId="0" applyFont="1" applyFill="1" applyBorder="1" applyAlignment="1">
      <alignment horizontal="center" vertical="center"/>
    </xf>
    <xf numFmtId="0" fontId="37" fillId="14" borderId="41" xfId="0" applyFont="1" applyFill="1" applyBorder="1" applyAlignment="1">
      <alignment horizontal="center" vertical="center"/>
    </xf>
    <xf numFmtId="0" fontId="37" fillId="14" borderId="42" xfId="0" applyFont="1" applyFill="1" applyBorder="1" applyAlignment="1">
      <alignment horizontal="center" vertical="center"/>
    </xf>
    <xf numFmtId="0" fontId="38" fillId="5" borderId="0" xfId="0" applyFont="1" applyFill="1" applyAlignment="1">
      <alignment horizontal="center" vertical="center"/>
    </xf>
    <xf numFmtId="0" fontId="36" fillId="5" borderId="0" xfId="0" applyFont="1" applyFill="1" applyAlignment="1">
      <alignment horizontal="left" wrapText="1"/>
    </xf>
    <xf numFmtId="0" fontId="38" fillId="19" borderId="0" xfId="0" applyFont="1" applyFill="1" applyAlignment="1">
      <alignment horizontal="left" vertical="top" wrapText="1"/>
    </xf>
    <xf numFmtId="0" fontId="38" fillId="5" borderId="0" xfId="0" applyFont="1" applyFill="1" applyBorder="1" applyAlignment="1">
      <alignment horizontal="left" wrapText="1"/>
    </xf>
    <xf numFmtId="0" fontId="38" fillId="19" borderId="0" xfId="0" applyFont="1" applyFill="1" applyAlignment="1">
      <alignment horizontal="left" wrapText="1"/>
    </xf>
    <xf numFmtId="0" fontId="36" fillId="5" borderId="78" xfId="0" applyFont="1" applyFill="1" applyBorder="1" applyAlignment="1">
      <alignment horizontal="left" vertical="center"/>
    </xf>
    <xf numFmtId="0" fontId="36" fillId="5" borderId="64" xfId="0" applyFont="1" applyFill="1" applyBorder="1" applyAlignment="1">
      <alignment horizontal="left" vertical="center"/>
    </xf>
    <xf numFmtId="0" fontId="36" fillId="5" borderId="61" xfId="0" applyFont="1" applyFill="1" applyBorder="1" applyAlignment="1">
      <alignment horizontal="left" vertical="center"/>
    </xf>
    <xf numFmtId="0" fontId="36" fillId="5" borderId="54" xfId="0" applyFont="1" applyFill="1" applyBorder="1" applyAlignment="1">
      <alignment horizontal="left" vertical="center"/>
    </xf>
    <xf numFmtId="0" fontId="41" fillId="5" borderId="0" xfId="0" applyFont="1" applyFill="1" applyBorder="1" applyAlignment="1">
      <alignment horizontal="left" vertical="top" wrapText="1"/>
    </xf>
    <xf numFmtId="0" fontId="22" fillId="5" borderId="0" xfId="0" applyFont="1" applyFill="1" applyAlignment="1">
      <alignment horizontal="left" wrapText="1"/>
    </xf>
    <xf numFmtId="0" fontId="40" fillId="4" borderId="103" xfId="0" applyFont="1" applyFill="1" applyBorder="1" applyAlignment="1">
      <alignment horizontal="center" vertical="top" wrapText="1"/>
    </xf>
    <xf numFmtId="0" fontId="40" fillId="4" borderId="30" xfId="0" applyFont="1" applyFill="1" applyBorder="1" applyAlignment="1">
      <alignment horizontal="center" vertical="top" wrapText="1"/>
    </xf>
    <xf numFmtId="0" fontId="40" fillId="4" borderId="18" xfId="0" applyFont="1" applyFill="1" applyBorder="1" applyAlignment="1">
      <alignment horizontal="center" vertical="top" wrapText="1"/>
    </xf>
    <xf numFmtId="0" fontId="36" fillId="5" borderId="59" xfId="0" applyFont="1" applyFill="1" applyBorder="1" applyAlignment="1">
      <alignment horizontal="left"/>
    </xf>
    <xf numFmtId="0" fontId="36" fillId="5" borderId="60" xfId="0" applyFont="1" applyFill="1" applyBorder="1" applyAlignment="1">
      <alignment horizontal="left"/>
    </xf>
    <xf numFmtId="0" fontId="36" fillId="5" borderId="35" xfId="0" applyFont="1" applyFill="1" applyBorder="1" applyAlignment="1">
      <alignment horizontal="left"/>
    </xf>
    <xf numFmtId="0" fontId="36" fillId="5" borderId="63" xfId="0" applyFont="1" applyFill="1" applyBorder="1" applyAlignment="1">
      <alignment horizontal="left"/>
    </xf>
    <xf numFmtId="0" fontId="36" fillId="5" borderId="35" xfId="0" applyFont="1" applyFill="1" applyBorder="1" applyAlignment="1">
      <alignment horizontal="left" wrapText="1"/>
    </xf>
    <xf numFmtId="0" fontId="36" fillId="5" borderId="40" xfId="0" applyFont="1" applyFill="1" applyBorder="1" applyAlignment="1">
      <alignment horizontal="left" wrapText="1"/>
    </xf>
    <xf numFmtId="0" fontId="36" fillId="5" borderId="41" xfId="0" applyFont="1" applyFill="1" applyBorder="1" applyAlignment="1">
      <alignment horizontal="left" wrapText="1"/>
    </xf>
    <xf numFmtId="0" fontId="36" fillId="5" borderId="84" xfId="0" applyFont="1" applyFill="1" applyBorder="1" applyAlignment="1">
      <alignment horizontal="left" wrapText="1"/>
    </xf>
    <xf numFmtId="0" fontId="36" fillId="5" borderId="69" xfId="0" applyFont="1" applyFill="1" applyBorder="1" applyAlignment="1">
      <alignment horizontal="left"/>
    </xf>
    <xf numFmtId="0" fontId="36" fillId="5" borderId="57" xfId="0" applyFont="1" applyFill="1" applyBorder="1" applyAlignment="1">
      <alignment horizontal="left"/>
    </xf>
    <xf numFmtId="0" fontId="40" fillId="4" borderId="23" xfId="0" applyFont="1" applyFill="1" applyBorder="1" applyAlignment="1">
      <alignment horizontal="center"/>
    </xf>
    <xf numFmtId="0" fontId="0" fillId="0" borderId="24" xfId="0" applyBorder="1"/>
    <xf numFmtId="0" fontId="0" fillId="0" borderId="26" xfId="0" applyBorder="1"/>
    <xf numFmtId="0" fontId="38" fillId="5" borderId="24" xfId="0" applyFont="1" applyFill="1" applyBorder="1" applyAlignment="1">
      <alignment horizontal="left" vertical="top" wrapText="1"/>
    </xf>
    <xf numFmtId="0" fontId="38" fillId="5" borderId="0" xfId="0" applyFont="1" applyFill="1" applyBorder="1" applyAlignment="1">
      <alignment horizontal="left" vertical="top" wrapText="1"/>
    </xf>
    <xf numFmtId="0" fontId="40" fillId="4" borderId="25" xfId="0" applyFont="1" applyFill="1" applyBorder="1" applyAlignment="1">
      <alignment horizontal="center" wrapText="1"/>
    </xf>
    <xf numFmtId="0" fontId="0" fillId="0" borderId="10" xfId="0" applyBorder="1"/>
    <xf numFmtId="0" fontId="0" fillId="0" borderId="28" xfId="0" applyBorder="1"/>
    <xf numFmtId="0" fontId="40" fillId="4" borderId="23" xfId="0" applyFont="1" applyFill="1" applyBorder="1" applyAlignment="1">
      <alignment horizontal="center" vertical="center" wrapText="1"/>
    </xf>
    <xf numFmtId="0" fontId="40" fillId="4" borderId="24" xfId="0" applyFont="1" applyFill="1" applyBorder="1" applyAlignment="1">
      <alignment horizontal="center" vertical="center" wrapText="1"/>
    </xf>
    <xf numFmtId="0" fontId="40" fillId="4" borderId="26" xfId="0" applyFont="1" applyFill="1" applyBorder="1" applyAlignment="1">
      <alignment horizontal="center" vertical="center" wrapText="1"/>
    </xf>
    <xf numFmtId="0" fontId="40" fillId="4" borderId="25" xfId="0" applyFont="1" applyFill="1" applyBorder="1" applyAlignment="1">
      <alignment horizontal="center"/>
    </xf>
    <xf numFmtId="0" fontId="40" fillId="4" borderId="10" xfId="0" applyFont="1" applyFill="1" applyBorder="1" applyAlignment="1">
      <alignment horizontal="center"/>
    </xf>
    <xf numFmtId="0" fontId="40" fillId="4" borderId="28" xfId="0" applyFont="1" applyFill="1" applyBorder="1" applyAlignment="1">
      <alignment horizontal="center"/>
    </xf>
    <xf numFmtId="0" fontId="88" fillId="21" borderId="40" xfId="0" applyFont="1" applyFill="1" applyBorder="1" applyAlignment="1">
      <alignment horizontal="left" vertical="top" wrapText="1"/>
    </xf>
    <xf numFmtId="0" fontId="88" fillId="21" borderId="42" xfId="0" applyFont="1" applyFill="1" applyBorder="1" applyAlignment="1">
      <alignment horizontal="left" vertical="top" wrapText="1"/>
    </xf>
    <xf numFmtId="0" fontId="50" fillId="23" borderId="35" xfId="0" applyFont="1" applyFill="1" applyBorder="1" applyAlignment="1">
      <alignment horizontal="left"/>
    </xf>
    <xf numFmtId="0" fontId="21" fillId="5" borderId="0" xfId="0" applyFont="1" applyFill="1" applyBorder="1" applyAlignment="1">
      <alignment vertical="top" wrapText="1"/>
    </xf>
    <xf numFmtId="0" fontId="29" fillId="19" borderId="0" xfId="4" applyFont="1" applyFill="1" applyAlignment="1" applyProtection="1">
      <alignment horizontal="left" vertical="top" wrapText="1"/>
    </xf>
    <xf numFmtId="0" fontId="21" fillId="19" borderId="0" xfId="0" applyFont="1" applyFill="1" applyAlignment="1">
      <alignment horizontal="left" vertical="top" wrapText="1"/>
    </xf>
    <xf numFmtId="0" fontId="21" fillId="5" borderId="0" xfId="4" applyFont="1" applyFill="1" applyAlignment="1" applyProtection="1">
      <alignment vertical="top" wrapText="1"/>
    </xf>
    <xf numFmtId="0" fontId="25" fillId="25" borderId="40" xfId="0" applyFont="1" applyFill="1" applyBorder="1" applyAlignment="1">
      <alignment horizontal="center"/>
    </xf>
    <xf numFmtId="0" fontId="25" fillId="25" borderId="42" xfId="0" applyFont="1" applyFill="1" applyBorder="1" applyAlignment="1">
      <alignment horizontal="center"/>
    </xf>
    <xf numFmtId="0" fontId="50" fillId="12" borderId="40" xfId="0" applyFont="1" applyFill="1" applyBorder="1" applyAlignment="1">
      <alignment horizontal="left"/>
    </xf>
    <xf numFmtId="0" fontId="50" fillId="12" borderId="41" xfId="0" applyFont="1" applyFill="1" applyBorder="1" applyAlignment="1">
      <alignment horizontal="left"/>
    </xf>
    <xf numFmtId="0" fontId="50" fillId="12" borderId="42" xfId="0" applyFont="1" applyFill="1" applyBorder="1" applyAlignment="1">
      <alignment horizontal="left"/>
    </xf>
    <xf numFmtId="0" fontId="29" fillId="5" borderId="0" xfId="4" applyFill="1" applyAlignment="1" applyProtection="1">
      <alignment vertical="top" wrapText="1"/>
    </xf>
    <xf numFmtId="0" fontId="29" fillId="5" borderId="0" xfId="4" applyFont="1" applyFill="1" applyBorder="1" applyAlignment="1" applyProtection="1">
      <alignment vertical="top" wrapText="1"/>
    </xf>
    <xf numFmtId="0" fontId="29" fillId="5" borderId="0" xfId="4" applyFill="1" applyBorder="1" applyAlignment="1" applyProtection="1">
      <alignment vertical="top" wrapText="1"/>
    </xf>
    <xf numFmtId="0" fontId="21" fillId="0" borderId="0" xfId="0" applyFont="1" applyFill="1" applyBorder="1" applyAlignment="1">
      <alignment vertical="top" wrapText="1"/>
    </xf>
    <xf numFmtId="0" fontId="21" fillId="19" borderId="0" xfId="4" applyFont="1" applyFill="1" applyAlignment="1" applyProtection="1">
      <alignment horizontal="left" vertical="top" wrapText="1"/>
    </xf>
    <xf numFmtId="0" fontId="25" fillId="5" borderId="0" xfId="0" applyFont="1" applyFill="1" applyAlignment="1">
      <alignment vertical="top" wrapText="1"/>
    </xf>
    <xf numFmtId="0" fontId="29" fillId="19" borderId="0" xfId="4" applyFill="1" applyAlignment="1" applyProtection="1">
      <alignment horizontal="left" vertical="top" wrapText="1"/>
    </xf>
    <xf numFmtId="0" fontId="25" fillId="19" borderId="0" xfId="0" applyFont="1" applyFill="1" applyAlignment="1">
      <alignment horizontal="left" vertical="top" wrapText="1"/>
    </xf>
    <xf numFmtId="0" fontId="21" fillId="0" borderId="0" xfId="0" applyFont="1" applyFill="1" applyAlignment="1">
      <alignment horizontal="left" vertical="top" wrapText="1"/>
    </xf>
    <xf numFmtId="0" fontId="91" fillId="15" borderId="40" xfId="0" applyFont="1" applyFill="1" applyBorder="1" applyAlignment="1">
      <alignment wrapText="1"/>
    </xf>
    <xf numFmtId="0" fontId="0" fillId="0" borderId="42" xfId="0" applyBorder="1" applyAlignment="1">
      <alignment wrapText="1"/>
    </xf>
    <xf numFmtId="0" fontId="59" fillId="5" borderId="0" xfId="0" applyFont="1" applyFill="1" applyAlignment="1">
      <alignment vertical="top" wrapText="1"/>
    </xf>
    <xf numFmtId="0" fontId="21" fillId="0" borderId="0" xfId="0" applyFont="1" applyAlignment="1">
      <alignment vertical="top" wrapText="1"/>
    </xf>
    <xf numFmtId="0" fontId="29" fillId="0" borderId="0" xfId="4" applyAlignment="1" applyProtection="1">
      <alignment wrapText="1"/>
    </xf>
    <xf numFmtId="0" fontId="25" fillId="15" borderId="0" xfId="14" applyFont="1" applyFill="1" applyAlignment="1">
      <alignment wrapText="1"/>
    </xf>
    <xf numFmtId="0" fontId="25" fillId="16" borderId="0" xfId="14" applyFont="1" applyFill="1" applyAlignment="1">
      <alignment wrapText="1"/>
    </xf>
    <xf numFmtId="0" fontId="41" fillId="0" borderId="0" xfId="14" applyFont="1" applyAlignment="1">
      <alignment horizontal="left" vertical="top" wrapText="1"/>
    </xf>
    <xf numFmtId="0" fontId="0" fillId="0" borderId="0" xfId="0" applyAlignment="1">
      <alignment horizontal="left" vertical="top" wrapText="1"/>
    </xf>
    <xf numFmtId="0" fontId="21" fillId="0" borderId="0" xfId="14" applyFont="1" applyAlignment="1">
      <alignment vertical="top" wrapText="1"/>
    </xf>
    <xf numFmtId="0" fontId="0" fillId="0" borderId="0" xfId="0" applyAlignment="1">
      <alignment vertical="top" wrapText="1"/>
    </xf>
    <xf numFmtId="0" fontId="24" fillId="0" borderId="0" xfId="14" applyFont="1" applyBorder="1" applyAlignment="1">
      <alignment horizontal="left" wrapText="1"/>
    </xf>
    <xf numFmtId="0" fontId="0" fillId="0" borderId="0" xfId="0" applyAlignment="1">
      <alignment horizontal="left" wrapText="1"/>
    </xf>
    <xf numFmtId="0" fontId="21" fillId="0" borderId="0" xfId="14" applyFont="1" applyAlignment="1">
      <alignment wrapText="1"/>
    </xf>
    <xf numFmtId="0" fontId="65" fillId="0" borderId="0" xfId="14" applyFont="1" applyFill="1" applyAlignment="1">
      <alignment horizontal="left" wrapText="1"/>
    </xf>
    <xf numFmtId="170" fontId="21" fillId="0" borderId="0" xfId="14" applyNumberFormat="1" applyFont="1" applyFill="1" applyBorder="1" applyAlignment="1">
      <alignment horizontal="left" wrapText="1"/>
    </xf>
    <xf numFmtId="0" fontId="24" fillId="0" borderId="0" xfId="14" applyFill="1" applyAlignment="1">
      <alignment wrapText="1"/>
    </xf>
    <xf numFmtId="0" fontId="25" fillId="0" borderId="0" xfId="14" applyFont="1" applyAlignment="1">
      <alignment vertical="top" wrapText="1"/>
    </xf>
    <xf numFmtId="0" fontId="24" fillId="0" borderId="0" xfId="14" applyFont="1" applyAlignment="1">
      <alignment vertical="top" wrapText="1"/>
    </xf>
    <xf numFmtId="9" fontId="21" fillId="0" borderId="0" xfId="14" applyNumberFormat="1" applyFont="1" applyBorder="1" applyAlignment="1">
      <alignment horizontal="left" vertical="top" wrapText="1"/>
    </xf>
    <xf numFmtId="0" fontId="24" fillId="0" borderId="0" xfId="14" applyFont="1" applyAlignment="1">
      <alignment horizontal="left" vertical="top" wrapText="1"/>
    </xf>
    <xf numFmtId="0" fontId="24" fillId="0" borderId="0" xfId="14" applyAlignment="1">
      <alignment vertical="top" wrapText="1"/>
    </xf>
    <xf numFmtId="0" fontId="38" fillId="0" borderId="0" xfId="14" applyFont="1" applyAlignment="1">
      <alignment horizontal="left" vertical="top" wrapText="1"/>
    </xf>
    <xf numFmtId="0" fontId="38" fillId="0" borderId="0" xfId="0" applyFont="1" applyAlignment="1">
      <alignment vertical="top" wrapText="1"/>
    </xf>
    <xf numFmtId="0" fontId="25" fillId="0" borderId="0" xfId="14" applyFont="1" applyAlignment="1">
      <alignment wrapText="1"/>
    </xf>
    <xf numFmtId="0" fontId="0" fillId="0" borderId="0" xfId="0" applyAlignment="1">
      <alignment wrapText="1"/>
    </xf>
    <xf numFmtId="0" fontId="24" fillId="0" borderId="0" xfId="14" applyFont="1" applyAlignment="1">
      <alignment wrapText="1"/>
    </xf>
    <xf numFmtId="9" fontId="21" fillId="0" borderId="0" xfId="14" applyNumberFormat="1" applyFont="1" applyBorder="1" applyAlignment="1">
      <alignment horizontal="left" wrapText="1"/>
    </xf>
    <xf numFmtId="0" fontId="24" fillId="0" borderId="0" xfId="14" applyAlignment="1">
      <alignment wrapText="1"/>
    </xf>
    <xf numFmtId="170" fontId="21" fillId="0" borderId="0" xfId="14" applyNumberFormat="1" applyFont="1" applyBorder="1" applyAlignment="1">
      <alignment horizontal="left" vertical="top" wrapText="1"/>
    </xf>
    <xf numFmtId="0" fontId="24" fillId="0" borderId="0" xfId="14" applyAlignment="1">
      <alignment horizontal="left" vertical="top" wrapText="1"/>
    </xf>
    <xf numFmtId="0" fontId="40" fillId="0" borderId="0" xfId="14" applyFont="1" applyAlignment="1">
      <alignment horizontal="left" vertical="center" wrapText="1"/>
    </xf>
    <xf numFmtId="168" fontId="21" fillId="0" borderId="0" xfId="1" applyNumberFormat="1" applyFont="1" applyBorder="1" applyAlignment="1">
      <alignment vertical="top" wrapText="1"/>
    </xf>
    <xf numFmtId="0" fontId="36" fillId="0" borderId="0" xfId="14" applyFont="1" applyAlignment="1">
      <alignment horizontal="left" vertical="center" wrapText="1"/>
    </xf>
    <xf numFmtId="168" fontId="21" fillId="0" borderId="0" xfId="14" applyNumberFormat="1" applyFont="1" applyBorder="1" applyAlignment="1">
      <alignment horizontal="left" vertical="top" wrapText="1"/>
    </xf>
    <xf numFmtId="0" fontId="21" fillId="0" borderId="0" xfId="14" applyFont="1" applyFill="1" applyAlignment="1">
      <alignment vertical="top" wrapText="1"/>
    </xf>
    <xf numFmtId="9" fontId="1" fillId="0" borderId="0" xfId="14" applyNumberFormat="1" applyFont="1" applyBorder="1" applyAlignment="1">
      <alignment horizontal="left" vertical="top" wrapText="1"/>
    </xf>
    <xf numFmtId="0" fontId="25" fillId="0" borderId="0" xfId="14" applyFont="1" applyAlignment="1">
      <alignment horizontal="left" vertical="top" wrapText="1"/>
    </xf>
    <xf numFmtId="0" fontId="25" fillId="0" borderId="0" xfId="14" applyFont="1" applyAlignment="1">
      <alignment horizontal="left" vertical="center" wrapText="1"/>
    </xf>
    <xf numFmtId="0" fontId="21" fillId="0" borderId="0" xfId="14" applyFont="1" applyAlignment="1">
      <alignment horizontal="left" vertical="center" wrapText="1"/>
    </xf>
    <xf numFmtId="3" fontId="21" fillId="0" borderId="0" xfId="14" applyNumberFormat="1" applyFont="1" applyBorder="1" applyAlignment="1">
      <alignment wrapText="1"/>
    </xf>
    <xf numFmtId="168" fontId="21" fillId="0" borderId="0" xfId="1" applyNumberFormat="1" applyFont="1" applyFill="1" applyAlignment="1">
      <alignment wrapText="1"/>
    </xf>
    <xf numFmtId="0" fontId="21" fillId="0" borderId="0" xfId="14" applyFont="1" applyFill="1" applyAlignment="1">
      <alignment wrapText="1"/>
    </xf>
    <xf numFmtId="0" fontId="25" fillId="0" borderId="0" xfId="14" applyFont="1" applyBorder="1" applyAlignment="1">
      <alignment horizontal="left" vertical="center" wrapText="1"/>
    </xf>
    <xf numFmtId="0" fontId="21" fillId="0" borderId="0" xfId="14" applyFont="1" applyBorder="1" applyAlignment="1">
      <alignment horizontal="left" vertical="center" wrapText="1"/>
    </xf>
    <xf numFmtId="0" fontId="21" fillId="0" borderId="36" xfId="14" applyFont="1" applyBorder="1" applyAlignment="1">
      <alignment wrapText="1"/>
    </xf>
    <xf numFmtId="0" fontId="25" fillId="8" borderId="0" xfId="14" applyFont="1" applyFill="1" applyBorder="1" applyAlignment="1">
      <alignment wrapText="1"/>
    </xf>
    <xf numFmtId="0" fontId="50" fillId="11" borderId="0" xfId="14" applyFont="1" applyFill="1" applyBorder="1" applyAlignment="1"/>
    <xf numFmtId="0" fontId="51" fillId="11" borderId="0" xfId="14" applyFont="1" applyFill="1" applyBorder="1" applyAlignment="1"/>
    <xf numFmtId="0" fontId="25" fillId="0" borderId="0" xfId="14" applyFont="1" applyFill="1" applyBorder="1" applyAlignment="1">
      <alignment horizontal="right"/>
    </xf>
    <xf numFmtId="0" fontId="21" fillId="0" borderId="0" xfId="14" applyFont="1" applyAlignment="1">
      <alignment horizontal="right"/>
    </xf>
    <xf numFmtId="0" fontId="21" fillId="0" borderId="0" xfId="14" applyFont="1" applyBorder="1" applyAlignment="1">
      <alignment horizontal="right"/>
    </xf>
    <xf numFmtId="0" fontId="25" fillId="0" borderId="35" xfId="0" applyFont="1" applyBorder="1" applyAlignment="1">
      <alignment textRotation="90" wrapText="1"/>
    </xf>
    <xf numFmtId="0" fontId="111" fillId="0" borderId="0" xfId="0" applyFont="1"/>
    <xf numFmtId="0" fontId="25" fillId="0" borderId="0" xfId="0" applyFont="1" applyAlignment="1">
      <alignment textRotation="90" wrapText="1"/>
    </xf>
    <xf numFmtId="0" fontId="26" fillId="0" borderId="1" xfId="13" applyBorder="1" applyAlignment="1">
      <alignment wrapText="1"/>
    </xf>
    <xf numFmtId="0" fontId="26" fillId="0" borderId="1" xfId="13" applyBorder="1" applyAlignment="1">
      <alignment horizontal="right" wrapText="1"/>
    </xf>
    <xf numFmtId="0" fontId="23" fillId="0" borderId="1" xfId="12" applyBorder="1" applyAlignment="1">
      <alignment horizontal="left" wrapText="1"/>
    </xf>
    <xf numFmtId="0" fontId="26" fillId="0" borderId="44" xfId="13" applyBorder="1" applyAlignment="1">
      <alignment horizontal="right" wrapText="1"/>
    </xf>
    <xf numFmtId="0" fontId="26" fillId="0" borderId="45" xfId="13" applyBorder="1" applyAlignment="1">
      <alignment wrapText="1"/>
    </xf>
    <xf numFmtId="0" fontId="26" fillId="0" borderId="0" xfId="13" applyAlignment="1">
      <alignment horizontal="right" wrapText="1"/>
    </xf>
    <xf numFmtId="0" fontId="26" fillId="0" borderId="46" xfId="13" applyBorder="1" applyAlignment="1">
      <alignment horizontal="right" wrapText="1"/>
    </xf>
    <xf numFmtId="0" fontId="26" fillId="0" borderId="47" xfId="13" applyBorder="1" applyAlignment="1">
      <alignment horizontal="right" wrapText="1"/>
    </xf>
    <xf numFmtId="0" fontId="23" fillId="0" borderId="0" xfId="11" applyAlignment="1">
      <alignment horizontal="right" wrapText="1"/>
    </xf>
    <xf numFmtId="0" fontId="23" fillId="0" borderId="0" xfId="11" applyAlignment="1">
      <alignment horizontal="right"/>
    </xf>
    <xf numFmtId="49" fontId="0" fillId="0" borderId="0" xfId="0" applyNumberFormat="1"/>
  </cellXfs>
  <cellStyles count="17">
    <cellStyle name="Komma" xfId="1" builtinId="3"/>
    <cellStyle name="Komma 2" xfId="2" xr:uid="{00000000-0005-0000-0000-000001000000}"/>
    <cellStyle name="Link" xfId="3" builtinId="8"/>
    <cellStyle name="Link 2" xfId="4" xr:uid="{00000000-0005-0000-0000-000003000000}"/>
    <cellStyle name="Normal" xfId="0" builtinId="0"/>
    <cellStyle name="Normal 2" xfId="5" xr:uid="{00000000-0005-0000-0000-000005000000}"/>
    <cellStyle name="Normal 2 2" xfId="6" xr:uid="{00000000-0005-0000-0000-000006000000}"/>
    <cellStyle name="Normal 3" xfId="7" xr:uid="{00000000-0005-0000-0000-000007000000}"/>
    <cellStyle name="Normal 3 2" xfId="8" xr:uid="{00000000-0005-0000-0000-000008000000}"/>
    <cellStyle name="Normal 4" xfId="9" xr:uid="{00000000-0005-0000-0000-000009000000}"/>
    <cellStyle name="Normal 5" xfId="10" xr:uid="{00000000-0005-0000-0000-00000A000000}"/>
    <cellStyle name="Normal_Ark1" xfId="11" xr:uid="{00000000-0005-0000-0000-00000B000000}"/>
    <cellStyle name="Normal_Ark2" xfId="12" xr:uid="{00000000-0005-0000-0000-00000C000000}"/>
    <cellStyle name="Normal_BD_Ny_1" xfId="13" xr:uid="{00000000-0005-0000-0000-00000D000000}"/>
    <cellStyle name="Normal_Updated GHG Calculator 9-19-06 ABB4" xfId="14" xr:uid="{00000000-0005-0000-0000-00000E000000}"/>
    <cellStyle name="Procent" xfId="15" builtinId="5"/>
    <cellStyle name="Procent 2" xfId="16" xr:uid="{00000000-0005-0000-0000-000010000000}"/>
  </cellStyles>
  <dxfs count="4">
    <dxf>
      <fill>
        <patternFill>
          <bgColor indexed="55"/>
        </patternFill>
      </fill>
    </dxf>
    <dxf>
      <fill>
        <patternFill>
          <bgColor indexed="41"/>
        </patternFill>
      </fill>
    </dxf>
    <dxf>
      <fill>
        <patternFill>
          <bgColor indexed="55"/>
        </patternFill>
      </fill>
    </dxf>
    <dxf>
      <fill>
        <patternFill>
          <bgColor indexed="4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 Id="rId5" Type="http://schemas.openxmlformats.org/officeDocument/2006/relationships/image" Target="../media/image31.png"/><Relationship Id="rId4" Type="http://schemas.openxmlformats.org/officeDocument/2006/relationships/image" Target="../media/image3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35.png"/><Relationship Id="rId4" Type="http://schemas.openxmlformats.org/officeDocument/2006/relationships/image" Target="../media/image3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42.png"/><Relationship Id="rId1" Type="http://schemas.openxmlformats.org/officeDocument/2006/relationships/image" Target="../media/image4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46.png"/><Relationship Id="rId2" Type="http://schemas.openxmlformats.org/officeDocument/2006/relationships/image" Target="../media/image45.png"/><Relationship Id="rId1" Type="http://schemas.openxmlformats.org/officeDocument/2006/relationships/image" Target="../media/image44.png"/><Relationship Id="rId4" Type="http://schemas.openxmlformats.org/officeDocument/2006/relationships/image" Target="../media/image4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8.png"/></Relationships>
</file>

<file path=xl/drawings/_rels/drawing21.xml.rels><?xml version="1.0" encoding="UTF-8" standalone="yes"?>
<Relationships xmlns="http://schemas.openxmlformats.org/package/2006/relationships"><Relationship Id="rId8" Type="http://schemas.openxmlformats.org/officeDocument/2006/relationships/image" Target="../media/image56.png"/><Relationship Id="rId3" Type="http://schemas.openxmlformats.org/officeDocument/2006/relationships/image" Target="../media/image51.png"/><Relationship Id="rId7" Type="http://schemas.openxmlformats.org/officeDocument/2006/relationships/image" Target="../media/image55.png"/><Relationship Id="rId2" Type="http://schemas.openxmlformats.org/officeDocument/2006/relationships/image" Target="../media/image50.png"/><Relationship Id="rId1" Type="http://schemas.openxmlformats.org/officeDocument/2006/relationships/image" Target="../media/image49.png"/><Relationship Id="rId6" Type="http://schemas.openxmlformats.org/officeDocument/2006/relationships/image" Target="../media/image54.png"/><Relationship Id="rId5" Type="http://schemas.openxmlformats.org/officeDocument/2006/relationships/image" Target="../media/image53.png"/><Relationship Id="rId4" Type="http://schemas.openxmlformats.org/officeDocument/2006/relationships/image" Target="../media/image52.png"/><Relationship Id="rId9" Type="http://schemas.openxmlformats.org/officeDocument/2006/relationships/image" Target="../media/image57.png"/></Relationships>
</file>

<file path=xl/drawings/_rels/drawing22.xml.rels><?xml version="1.0" encoding="UTF-8" standalone="yes"?>
<Relationships xmlns="http://schemas.openxmlformats.org/package/2006/relationships"><Relationship Id="rId3" Type="http://schemas.openxmlformats.org/officeDocument/2006/relationships/image" Target="../media/image59.png"/><Relationship Id="rId2" Type="http://schemas.openxmlformats.org/officeDocument/2006/relationships/image" Target="../media/image58.png"/><Relationship Id="rId1" Type="http://schemas.openxmlformats.org/officeDocument/2006/relationships/image" Target="../media/image4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60.jpe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png"/></Relationships>
</file>

<file path=xl/drawings/_rels/drawing7.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2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5" Type="http://schemas.openxmlformats.org/officeDocument/2006/relationships/image" Target="../media/image26.png"/><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xdr:from>
      <xdr:col>1</xdr:col>
      <xdr:colOff>3819525</xdr:colOff>
      <xdr:row>2</xdr:row>
      <xdr:rowOff>104775</xdr:rowOff>
    </xdr:from>
    <xdr:to>
      <xdr:col>11</xdr:col>
      <xdr:colOff>381000</xdr:colOff>
      <xdr:row>16</xdr:row>
      <xdr:rowOff>152400</xdr:rowOff>
    </xdr:to>
    <xdr:sp macro="" textlink="">
      <xdr:nvSpPr>
        <xdr:cNvPr id="15361" name="Text Box 1">
          <a:extLst>
            <a:ext uri="{FF2B5EF4-FFF2-40B4-BE49-F238E27FC236}">
              <a16:creationId xmlns:a16="http://schemas.microsoft.com/office/drawing/2014/main" id="{00000000-0008-0000-0000-0000013C0000}"/>
            </a:ext>
          </a:extLst>
        </xdr:cNvPr>
        <xdr:cNvSpPr txBox="1">
          <a:spLocks noChangeArrowheads="1"/>
        </xdr:cNvSpPr>
      </xdr:nvSpPr>
      <xdr:spPr bwMode="auto">
        <a:xfrm>
          <a:off x="4429125" y="428625"/>
          <a:ext cx="5924550" cy="2314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lnSpc>
              <a:spcPts val="1000"/>
            </a:lnSpc>
            <a:defRPr sz="1000"/>
          </a:pPr>
          <a:endParaRPr lang="da-DK" sz="1000" b="0" i="0" u="none" strike="noStrike" baseline="0">
            <a:solidFill>
              <a:srgbClr val="000000"/>
            </a:solidFill>
            <a:latin typeface="Arial"/>
            <a:cs typeface="Arial"/>
          </a:endParaRPr>
        </a:p>
        <a:p>
          <a:pPr algn="l" rtl="0">
            <a:lnSpc>
              <a:spcPts val="1100"/>
            </a:lnSpc>
            <a:defRPr sz="1000"/>
          </a:pPr>
          <a:r>
            <a:rPr lang="da-DK" sz="1000" b="0" i="0" u="none" strike="noStrike" baseline="0">
              <a:solidFill>
                <a:srgbClr val="000000"/>
              </a:solidFill>
              <a:latin typeface="Arial"/>
              <a:cs typeface="Arial"/>
            </a:rPr>
            <a:t>Denne samling er et forsøg på, at lave noget brugbart til Teknologiundervisning i LCT ( Life Cycle Thinking ) på Teknisk Gymnasium.</a:t>
          </a:r>
        </a:p>
        <a:p>
          <a:pPr algn="l" rtl="0">
            <a:lnSpc>
              <a:spcPts val="1000"/>
            </a:lnSpc>
            <a:defRPr sz="1000"/>
          </a:pPr>
          <a:endParaRPr lang="da-DK" sz="1000" b="0" i="0" u="none" strike="noStrike" baseline="0">
            <a:solidFill>
              <a:srgbClr val="000000"/>
            </a:solidFill>
            <a:latin typeface="Arial"/>
            <a:cs typeface="Arial"/>
          </a:endParaRPr>
        </a:p>
        <a:p>
          <a:pPr algn="l" rtl="0">
            <a:lnSpc>
              <a:spcPts val="1000"/>
            </a:lnSpc>
            <a:defRPr sz="1000"/>
          </a:pPr>
          <a:r>
            <a:rPr lang="da-DK" sz="1000" b="0" i="0" u="none" strike="noStrike" baseline="0">
              <a:solidFill>
                <a:srgbClr val="000000"/>
              </a:solidFill>
              <a:latin typeface="Arial"/>
              <a:cs typeface="Arial"/>
            </a:rPr>
            <a:t>Data er samlet gennem flere år fra diverse kilder. Og mange data er ret gamle.</a:t>
          </a:r>
        </a:p>
        <a:p>
          <a:pPr algn="l" rtl="0">
            <a:lnSpc>
              <a:spcPts val="1000"/>
            </a:lnSpc>
            <a:defRPr sz="1000"/>
          </a:pPr>
          <a:endParaRPr lang="da-DK" sz="1000" b="0" i="0" u="none" strike="noStrike" baseline="0">
            <a:solidFill>
              <a:srgbClr val="000000"/>
            </a:solidFill>
            <a:latin typeface="Arial"/>
            <a:cs typeface="Arial"/>
          </a:endParaRPr>
        </a:p>
        <a:p>
          <a:pPr algn="l" rtl="0">
            <a:lnSpc>
              <a:spcPts val="1000"/>
            </a:lnSpc>
            <a:defRPr sz="1000"/>
          </a:pPr>
          <a:r>
            <a:rPr lang="da-DK" sz="1000" b="0" i="0" u="none" strike="noStrike" baseline="0">
              <a:solidFill>
                <a:srgbClr val="000000"/>
              </a:solidFill>
              <a:latin typeface="Arial"/>
              <a:cs typeface="Arial"/>
            </a:rPr>
            <a:t>Desværre er der ikke angivet kilder for ret mange af data-listerne i materialet. !!</a:t>
          </a:r>
        </a:p>
        <a:p>
          <a:pPr algn="l" rtl="0">
            <a:lnSpc>
              <a:spcPts val="1100"/>
            </a:lnSpc>
            <a:defRPr sz="1000"/>
          </a:pPr>
          <a:endParaRPr lang="da-DK" sz="1000" b="0" i="0" u="none" strike="noStrike" baseline="0">
            <a:solidFill>
              <a:srgbClr val="000000"/>
            </a:solidFill>
            <a:latin typeface="Arial"/>
            <a:cs typeface="Arial"/>
          </a:endParaRPr>
        </a:p>
        <a:p>
          <a:pPr algn="l" rtl="0">
            <a:lnSpc>
              <a:spcPts val="1100"/>
            </a:lnSpc>
            <a:defRPr sz="1000"/>
          </a:pPr>
          <a:r>
            <a:rPr lang="da-DK" sz="1000" b="0" i="0" u="none" strike="noStrike" baseline="0">
              <a:solidFill>
                <a:srgbClr val="000000"/>
              </a:solidFill>
              <a:latin typeface="Arial"/>
              <a:cs typeface="Arial"/>
            </a:rPr>
            <a:t>Dataene er ikke nødvendigvis korrekte, - det ville være et voldsomt arbejde, at kontrollere alle data - om muligt ??? - </a:t>
          </a:r>
        </a:p>
        <a:p>
          <a:pPr algn="l" rtl="0">
            <a:lnSpc>
              <a:spcPts val="1000"/>
            </a:lnSpc>
            <a:defRPr sz="1000"/>
          </a:pPr>
          <a:endParaRPr lang="da-DK" sz="1000" b="0" i="0" u="none" strike="noStrike" baseline="0">
            <a:solidFill>
              <a:srgbClr val="000000"/>
            </a:solidFill>
            <a:latin typeface="Arial"/>
            <a:cs typeface="Arial"/>
          </a:endParaRPr>
        </a:p>
        <a:p>
          <a:pPr algn="l" rtl="0">
            <a:lnSpc>
              <a:spcPts val="1000"/>
            </a:lnSpc>
            <a:defRPr sz="1000"/>
          </a:pPr>
          <a:r>
            <a:rPr lang="da-DK" sz="1000" b="0" i="0" u="none" strike="noStrike" baseline="0">
              <a:solidFill>
                <a:srgbClr val="000000"/>
              </a:solidFill>
              <a:latin typeface="Arial"/>
              <a:cs typeface="Arial"/>
            </a:rPr>
            <a:t>Men rettelser modtages gerne.</a:t>
          </a:r>
        </a:p>
        <a:p>
          <a:pPr algn="l" rtl="0">
            <a:lnSpc>
              <a:spcPts val="1100"/>
            </a:lnSpc>
            <a:defRPr sz="1000"/>
          </a:pPr>
          <a:endParaRPr lang="da-DK" sz="1000" b="0" i="0" u="none" strike="noStrike" baseline="0">
            <a:solidFill>
              <a:srgbClr val="000000"/>
            </a:solidFill>
            <a:latin typeface="Arial"/>
            <a:cs typeface="Arial"/>
          </a:endParaRPr>
        </a:p>
        <a:p>
          <a:pPr algn="l" rtl="0">
            <a:lnSpc>
              <a:spcPts val="1100"/>
            </a:lnSpc>
            <a:defRPr sz="1000"/>
          </a:pPr>
          <a:r>
            <a:rPr lang="da-DK" sz="1000" b="0" i="0" u="none" strike="noStrike" baseline="0">
              <a:solidFill>
                <a:srgbClr val="000000"/>
              </a:solidFill>
              <a:latin typeface="Arial"/>
              <a:cs typeface="Arial"/>
            </a:rPr>
            <a:t>God fornøjelse :-)</a:t>
          </a:r>
        </a:p>
        <a:p>
          <a:pPr algn="l" rtl="0">
            <a:lnSpc>
              <a:spcPts val="1100"/>
            </a:lnSpc>
            <a:defRPr sz="1000"/>
          </a:pPr>
          <a:endParaRPr lang="da-DK" sz="1000" b="0" i="0" u="none" strike="noStrike" baseline="0">
            <a:solidFill>
              <a:srgbClr val="000000"/>
            </a:solidFill>
            <a:latin typeface="Arial"/>
            <a:cs typeface="Arial"/>
          </a:endParaRPr>
        </a:p>
        <a:p>
          <a:pPr algn="l" rtl="0">
            <a:lnSpc>
              <a:spcPts val="1100"/>
            </a:lnSpc>
            <a:defRPr sz="1000"/>
          </a:pPr>
          <a:r>
            <a:rPr lang="da-DK" sz="1000" b="0" i="0" u="none" strike="noStrike" baseline="0">
              <a:solidFill>
                <a:srgbClr val="000000"/>
              </a:solidFill>
              <a:latin typeface="Arial"/>
              <a:cs typeface="Arial"/>
            </a:rPr>
            <a:t>/ Valle  </a:t>
          </a:r>
        </a:p>
        <a:p>
          <a:pPr algn="l" rtl="0">
            <a:lnSpc>
              <a:spcPts val="1100"/>
            </a:lnSpc>
            <a:defRPr sz="1000"/>
          </a:pPr>
          <a:r>
            <a:rPr lang="da-DK" sz="1000" b="0" i="0" u="none" strike="noStrike" baseline="0">
              <a:solidFill>
                <a:srgbClr val="000000"/>
              </a:solidFill>
              <a:latin typeface="Arial"/>
              <a:cs typeface="Arial"/>
            </a:rPr>
            <a:t>November 2016</a:t>
          </a:r>
        </a:p>
        <a:p>
          <a:pPr algn="l" rtl="0">
            <a:lnSpc>
              <a:spcPts val="1100"/>
            </a:lnSpc>
            <a:defRPr sz="1000"/>
          </a:pPr>
          <a:endParaRPr lang="da-DK" sz="1000" b="0" i="0" u="none" strike="noStrike" baseline="0">
            <a:solidFill>
              <a:srgbClr val="000000"/>
            </a:solidFill>
            <a:latin typeface="Arial"/>
            <a:cs typeface="Arial"/>
          </a:endParaRPr>
        </a:p>
        <a:p>
          <a:pPr algn="l" rtl="0">
            <a:lnSpc>
              <a:spcPts val="1100"/>
            </a:lnSpc>
            <a:defRPr sz="1000"/>
          </a:pPr>
          <a:endParaRPr lang="da-DK" sz="1000" b="0" i="0" u="none" strike="noStrike" baseline="0">
            <a:solidFill>
              <a:srgbClr val="000000"/>
            </a:solidFill>
            <a:latin typeface="Arial"/>
            <a:cs typeface="Arial"/>
          </a:endParaRPr>
        </a:p>
        <a:p>
          <a:pPr algn="l" rtl="0">
            <a:lnSpc>
              <a:spcPts val="1100"/>
            </a:lnSpc>
            <a:defRPr sz="1000"/>
          </a:pPr>
          <a:endParaRPr lang="da-DK" sz="1000" b="0" i="0" u="none" strike="noStrike" baseline="0">
            <a:solidFill>
              <a:srgbClr val="000000"/>
            </a:solidFill>
            <a:latin typeface="Arial"/>
            <a:cs typeface="Arial"/>
          </a:endParaRPr>
        </a:p>
        <a:p>
          <a:pPr algn="l" rtl="0">
            <a:lnSpc>
              <a:spcPts val="1000"/>
            </a:lnSpc>
            <a:defRPr sz="1000"/>
          </a:pPr>
          <a:endParaRPr lang="da-DK" sz="1000" b="0" i="0" u="none" strike="noStrike" baseline="0">
            <a:solidFill>
              <a:srgbClr val="000000"/>
            </a:solidFill>
            <a:latin typeface="Arial"/>
            <a:cs typeface="Arial"/>
          </a:endParaRPr>
        </a:p>
      </xdr:txBody>
    </xdr:sp>
    <xdr:clientData/>
  </xdr:twoCellAnchor>
  <xdr:twoCellAnchor>
    <xdr:from>
      <xdr:col>2</xdr:col>
      <xdr:colOff>28575</xdr:colOff>
      <xdr:row>22</xdr:row>
      <xdr:rowOff>133350</xdr:rowOff>
    </xdr:from>
    <xdr:to>
      <xdr:col>7</xdr:col>
      <xdr:colOff>400050</xdr:colOff>
      <xdr:row>34</xdr:row>
      <xdr:rowOff>9525</xdr:rowOff>
    </xdr:to>
    <xdr:sp macro="" textlink="">
      <xdr:nvSpPr>
        <xdr:cNvPr id="15362" name="Text Box 2">
          <a:extLst>
            <a:ext uri="{FF2B5EF4-FFF2-40B4-BE49-F238E27FC236}">
              <a16:creationId xmlns:a16="http://schemas.microsoft.com/office/drawing/2014/main" id="{00000000-0008-0000-0000-0000023C0000}"/>
            </a:ext>
          </a:extLst>
        </xdr:cNvPr>
        <xdr:cNvSpPr txBox="1">
          <a:spLocks noChangeArrowheads="1"/>
        </xdr:cNvSpPr>
      </xdr:nvSpPr>
      <xdr:spPr bwMode="auto">
        <a:xfrm>
          <a:off x="4514850" y="3695700"/>
          <a:ext cx="3419475" cy="1819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da-DK" sz="1000" b="0" i="0" u="none" strike="noStrike" baseline="0">
              <a:solidFill>
                <a:srgbClr val="000000"/>
              </a:solidFill>
              <a:latin typeface="Arial"/>
              <a:cs typeface="Arial"/>
            </a:rPr>
            <a:t>Kilder:</a:t>
          </a:r>
        </a:p>
        <a:p>
          <a:pPr algn="l" rtl="0">
            <a:defRPr sz="1000"/>
          </a:pPr>
          <a:endParaRPr lang="da-DK" sz="1000" b="0" i="0" u="none" strike="noStrike" baseline="0">
            <a:solidFill>
              <a:srgbClr val="000000"/>
            </a:solidFill>
            <a:latin typeface="Arial"/>
            <a:cs typeface="Arial"/>
          </a:endParaRPr>
        </a:p>
        <a:p>
          <a:pPr algn="l" rtl="0">
            <a:defRPr sz="1000"/>
          </a:pPr>
          <a:r>
            <a:rPr lang="da-DK" sz="1000" b="0" i="0" u="none" strike="noStrike" baseline="0">
              <a:solidFill>
                <a:srgbClr val="000000"/>
              </a:solidFill>
              <a:latin typeface="Arial"/>
              <a:cs typeface="Arial"/>
            </a:rPr>
            <a:t>Håndbog i miljøvurdering</a:t>
          </a:r>
        </a:p>
        <a:p>
          <a:pPr algn="l" rtl="0">
            <a:defRPr sz="1000"/>
          </a:pPr>
          <a:r>
            <a:rPr lang="da-DK" sz="1000" b="0" i="0" u="none" strike="noStrike" baseline="0">
              <a:solidFill>
                <a:srgbClr val="000000"/>
              </a:solidFill>
              <a:latin typeface="Arial"/>
              <a:cs typeface="Arial"/>
            </a:rPr>
            <a:t>1 ton mindre - kampagne, beregningsforudsætninger.</a:t>
          </a:r>
        </a:p>
        <a:p>
          <a:pPr algn="l" rtl="0">
            <a:defRPr sz="1000"/>
          </a:pPr>
          <a:r>
            <a:rPr lang="da-DK" sz="1000" b="0" i="0" u="none" strike="noStrike" baseline="0">
              <a:solidFill>
                <a:srgbClr val="000000"/>
              </a:solidFill>
              <a:latin typeface="Arial"/>
              <a:cs typeface="Arial"/>
            </a:rPr>
            <a:t>Dokument, retningslinier for miljøvurdering af produkter, Og mange andre, !!!!!</a:t>
          </a:r>
        </a:p>
      </xdr:txBody>
    </xdr:sp>
    <xdr:clientData/>
  </xdr:twoCellAnchor>
  <xdr:twoCellAnchor>
    <xdr:from>
      <xdr:col>2</xdr:col>
      <xdr:colOff>57150</xdr:colOff>
      <xdr:row>18</xdr:row>
      <xdr:rowOff>152400</xdr:rowOff>
    </xdr:from>
    <xdr:to>
      <xdr:col>10</xdr:col>
      <xdr:colOff>238125</xdr:colOff>
      <xdr:row>21</xdr:row>
      <xdr:rowOff>66675</xdr:rowOff>
    </xdr:to>
    <xdr:sp macro="" textlink="">
      <xdr:nvSpPr>
        <xdr:cNvPr id="2" name="Tekstfelt 1">
          <a:extLst>
            <a:ext uri="{FF2B5EF4-FFF2-40B4-BE49-F238E27FC236}">
              <a16:creationId xmlns:a16="http://schemas.microsoft.com/office/drawing/2014/main" id="{00000000-0008-0000-0000-000002000000}"/>
            </a:ext>
          </a:extLst>
        </xdr:cNvPr>
        <xdr:cNvSpPr txBox="1"/>
      </xdr:nvSpPr>
      <xdr:spPr>
        <a:xfrm>
          <a:off x="4543425" y="3067050"/>
          <a:ext cx="5057775"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Datafanerne kunne godt trænge til en lille redigering.</a:t>
          </a:r>
          <a:r>
            <a:rPr lang="da-DK" sz="1100" baseline="0"/>
            <a:t> Der er en del overlapninger og faner med data, der ikke er logiske !!  Det kommer måske engang !!</a:t>
          </a:r>
          <a:endParaRPr lang="da-DK"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12</xdr:col>
      <xdr:colOff>361950</xdr:colOff>
      <xdr:row>25</xdr:row>
      <xdr:rowOff>76200</xdr:rowOff>
    </xdr:to>
    <xdr:pic>
      <xdr:nvPicPr>
        <xdr:cNvPr id="2" name="Billed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6950" y="504825"/>
          <a:ext cx="4019550" cy="3638550"/>
        </a:xfrm>
        <a:prstGeom prst="rect">
          <a:avLst/>
        </a:prstGeom>
        <a:noFill/>
        <a:ln>
          <a:noFill/>
        </a:ln>
      </xdr:spPr>
    </xdr:pic>
    <xdr:clientData/>
  </xdr:twoCellAnchor>
  <xdr:twoCellAnchor editAs="oneCell">
    <xdr:from>
      <xdr:col>0</xdr:col>
      <xdr:colOff>333374</xdr:colOff>
      <xdr:row>31</xdr:row>
      <xdr:rowOff>50907</xdr:rowOff>
    </xdr:from>
    <xdr:to>
      <xdr:col>7</xdr:col>
      <xdr:colOff>170323</xdr:colOff>
      <xdr:row>71</xdr:row>
      <xdr:rowOff>56031</xdr:rowOff>
    </xdr:to>
    <xdr:pic>
      <xdr:nvPicPr>
        <xdr:cNvPr id="3" name="Billed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333374" y="5099157"/>
          <a:ext cx="6523499" cy="6482124"/>
        </a:xfrm>
        <a:prstGeom prst="rect">
          <a:avLst/>
        </a:prstGeom>
      </xdr:spPr>
    </xdr:pic>
    <xdr:clientData/>
  </xdr:twoCellAnchor>
  <xdr:twoCellAnchor>
    <xdr:from>
      <xdr:col>7</xdr:col>
      <xdr:colOff>514350</xdr:colOff>
      <xdr:row>33</xdr:row>
      <xdr:rowOff>38100</xdr:rowOff>
    </xdr:from>
    <xdr:to>
      <xdr:col>17</xdr:col>
      <xdr:colOff>66675</xdr:colOff>
      <xdr:row>48</xdr:row>
      <xdr:rowOff>66675</xdr:rowOff>
    </xdr:to>
    <xdr:sp macro="" textlink="">
      <xdr:nvSpPr>
        <xdr:cNvPr id="4" name="Tekstfelt 3">
          <a:extLst>
            <a:ext uri="{FF2B5EF4-FFF2-40B4-BE49-F238E27FC236}">
              <a16:creationId xmlns:a16="http://schemas.microsoft.com/office/drawing/2014/main" id="{00000000-0008-0000-0900-000004000000}"/>
            </a:ext>
          </a:extLst>
        </xdr:cNvPr>
        <xdr:cNvSpPr txBox="1"/>
      </xdr:nvSpPr>
      <xdr:spPr>
        <a:xfrm>
          <a:off x="7200900" y="5410200"/>
          <a:ext cx="5648325" cy="2457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i="0" u="none" strike="noStrike" baseline="0">
              <a:solidFill>
                <a:schemeClr val="dk1"/>
              </a:solidFill>
              <a:latin typeface="+mn-lt"/>
              <a:ea typeface="+mn-ea"/>
              <a:cs typeface="+mn-cs"/>
            </a:rPr>
            <a:t>Opgørelse af ressourceforbrug</a:t>
          </a:r>
        </a:p>
        <a:p>
          <a:r>
            <a:rPr lang="da-DK" sz="1100" b="0" i="0" u="none" strike="noStrike" baseline="0">
              <a:solidFill>
                <a:schemeClr val="dk1"/>
              </a:solidFill>
              <a:latin typeface="+mn-lt"/>
              <a:ea typeface="+mn-ea"/>
              <a:cs typeface="+mn-cs"/>
            </a:rPr>
            <a:t>Tabel B.1 omfatter en række udvalgte materialer, der ofte anvendes.</a:t>
          </a:r>
        </a:p>
        <a:p>
          <a:r>
            <a:rPr lang="da-DK" sz="1100" b="0" i="0" u="none" strike="noStrike" baseline="0">
              <a:solidFill>
                <a:schemeClr val="dk1"/>
              </a:solidFill>
              <a:latin typeface="+mn-lt"/>
              <a:ea typeface="+mn-ea"/>
              <a:cs typeface="+mn-cs"/>
            </a:rPr>
            <a:t>For hvert materiale er angivet hvilke ressourcer, materialet er fremstillet af. Disse ressourceforbrug er omregnet til mPR/kg. Det betyder at der er taget hensyn til forsyningen af den pågældende ressource på verdensplan og den mængde en gennemsnitsperson bruger pr.</a:t>
          </a:r>
        </a:p>
        <a:p>
          <a:r>
            <a:rPr lang="da-DK" sz="1100" b="0" i="0" u="none" strike="noStrike" baseline="0">
              <a:solidFill>
                <a:schemeClr val="dk1"/>
              </a:solidFill>
              <a:latin typeface="+mn-lt"/>
              <a:ea typeface="+mn-ea"/>
              <a:cs typeface="+mn-cs"/>
            </a:rPr>
            <a:t>år.</a:t>
          </a:r>
        </a:p>
        <a:p>
          <a:r>
            <a:rPr lang="da-DK" sz="1100" b="0" i="0" u="none" strike="noStrike" baseline="0">
              <a:solidFill>
                <a:schemeClr val="dk1"/>
              </a:solidFill>
              <a:latin typeface="+mn-lt"/>
              <a:ea typeface="+mn-ea"/>
              <a:cs typeface="+mn-cs"/>
            </a:rPr>
            <a:t>I kolonnen "Bemærkninger" er anført specielle udledninger eller emissioner, der er forbundet med fremstilling eller oparbejdning af de pågældende ressourcer. Angivelserne under "Bemærkninger" kan ikke betragtes som udtømmende.</a:t>
          </a:r>
        </a:p>
        <a:p>
          <a:endParaRPr lang="da-DK" sz="1100" b="0" i="0" u="none" strike="noStrike" baseline="0">
            <a:solidFill>
              <a:schemeClr val="dk1"/>
            </a:solidFill>
            <a:latin typeface="+mn-lt"/>
            <a:ea typeface="+mn-ea"/>
            <a:cs typeface="+mn-cs"/>
          </a:endParaRPr>
        </a:p>
        <a:p>
          <a:r>
            <a:rPr lang="da-DK" sz="1100" b="0" i="0" u="none" strike="noStrike" baseline="0">
              <a:solidFill>
                <a:schemeClr val="dk1"/>
              </a:solidFill>
              <a:latin typeface="+mn-lt"/>
              <a:ea typeface="+mn-ea"/>
              <a:cs typeface="+mn-cs"/>
            </a:rPr>
            <a:t>Kilde: Håndbog i miljøvurdering af produkter</a:t>
          </a:r>
          <a:endParaRPr lang="da-DK" sz="1100"/>
        </a:p>
      </xdr:txBody>
    </xdr:sp>
    <xdr:clientData/>
  </xdr:twoCellAnchor>
  <xdr:twoCellAnchor editAs="oneCell">
    <xdr:from>
      <xdr:col>0</xdr:col>
      <xdr:colOff>304800</xdr:colOff>
      <xdr:row>71</xdr:row>
      <xdr:rowOff>76199</xdr:rowOff>
    </xdr:from>
    <xdr:to>
      <xdr:col>7</xdr:col>
      <xdr:colOff>232163</xdr:colOff>
      <xdr:row>108</xdr:row>
      <xdr:rowOff>141851</xdr:rowOff>
    </xdr:to>
    <xdr:pic>
      <xdr:nvPicPr>
        <xdr:cNvPr id="5" name="Billed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
        <a:stretch>
          <a:fillRect/>
        </a:stretch>
      </xdr:blipFill>
      <xdr:spPr>
        <a:xfrm>
          <a:off x="304800" y="11601449"/>
          <a:ext cx="6613913" cy="6056877"/>
        </a:xfrm>
        <a:prstGeom prst="rect">
          <a:avLst/>
        </a:prstGeom>
      </xdr:spPr>
    </xdr:pic>
    <xdr:clientData/>
  </xdr:twoCellAnchor>
  <xdr:twoCellAnchor editAs="oneCell">
    <xdr:from>
      <xdr:col>0</xdr:col>
      <xdr:colOff>390525</xdr:colOff>
      <xdr:row>109</xdr:row>
      <xdr:rowOff>151225</xdr:rowOff>
    </xdr:from>
    <xdr:to>
      <xdr:col>7</xdr:col>
      <xdr:colOff>247650</xdr:colOff>
      <xdr:row>139</xdr:row>
      <xdr:rowOff>37290</xdr:rowOff>
    </xdr:to>
    <xdr:pic>
      <xdr:nvPicPr>
        <xdr:cNvPr id="6" name="Billed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4"/>
        <a:stretch>
          <a:fillRect/>
        </a:stretch>
      </xdr:blipFill>
      <xdr:spPr>
        <a:xfrm>
          <a:off x="390525" y="17829625"/>
          <a:ext cx="6543675" cy="4743815"/>
        </a:xfrm>
        <a:prstGeom prst="rect">
          <a:avLst/>
        </a:prstGeom>
      </xdr:spPr>
    </xdr:pic>
    <xdr:clientData/>
  </xdr:twoCellAnchor>
  <xdr:twoCellAnchor editAs="oneCell">
    <xdr:from>
      <xdr:col>0</xdr:col>
      <xdr:colOff>352426</xdr:colOff>
      <xdr:row>139</xdr:row>
      <xdr:rowOff>129377</xdr:rowOff>
    </xdr:from>
    <xdr:to>
      <xdr:col>7</xdr:col>
      <xdr:colOff>276226</xdr:colOff>
      <xdr:row>182</xdr:row>
      <xdr:rowOff>94080</xdr:rowOff>
    </xdr:to>
    <xdr:pic>
      <xdr:nvPicPr>
        <xdr:cNvPr id="7" name="Billed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5"/>
        <a:stretch>
          <a:fillRect/>
        </a:stretch>
      </xdr:blipFill>
      <xdr:spPr>
        <a:xfrm>
          <a:off x="352426" y="22665527"/>
          <a:ext cx="6610350" cy="69274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219075</xdr:colOff>
      <xdr:row>26</xdr:row>
      <xdr:rowOff>85725</xdr:rowOff>
    </xdr:to>
    <xdr:pic>
      <xdr:nvPicPr>
        <xdr:cNvPr id="2" name="Billede 1">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23850"/>
          <a:ext cx="5705475" cy="39719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571500</xdr:colOff>
      <xdr:row>31</xdr:row>
      <xdr:rowOff>85725</xdr:rowOff>
    </xdr:to>
    <xdr:pic>
      <xdr:nvPicPr>
        <xdr:cNvPr id="2" name="Billede 1">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85775"/>
          <a:ext cx="4838700" cy="46196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352425</xdr:colOff>
      <xdr:row>31</xdr:row>
      <xdr:rowOff>19050</xdr:rowOff>
    </xdr:to>
    <xdr:pic>
      <xdr:nvPicPr>
        <xdr:cNvPr id="2" name="Billede 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85775"/>
          <a:ext cx="5229225" cy="45529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409575</xdr:colOff>
      <xdr:row>7</xdr:row>
      <xdr:rowOff>0</xdr:rowOff>
    </xdr:from>
    <xdr:to>
      <xdr:col>11</xdr:col>
      <xdr:colOff>114300</xdr:colOff>
      <xdr:row>10</xdr:row>
      <xdr:rowOff>76200</xdr:rowOff>
    </xdr:to>
    <xdr:pic>
      <xdr:nvPicPr>
        <xdr:cNvPr id="13358" name="Picture 1">
          <a:extLst>
            <a:ext uri="{FF2B5EF4-FFF2-40B4-BE49-F238E27FC236}">
              <a16:creationId xmlns:a16="http://schemas.microsoft.com/office/drawing/2014/main" id="{00000000-0008-0000-1000-00002E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15100" y="1809750"/>
          <a:ext cx="4495800" cy="2238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523875</xdr:colOff>
      <xdr:row>18</xdr:row>
      <xdr:rowOff>161925</xdr:rowOff>
    </xdr:from>
    <xdr:to>
      <xdr:col>11</xdr:col>
      <xdr:colOff>276225</xdr:colOff>
      <xdr:row>22</xdr:row>
      <xdr:rowOff>0</xdr:rowOff>
    </xdr:to>
    <xdr:pic>
      <xdr:nvPicPr>
        <xdr:cNvPr id="13359" name="Picture 2">
          <a:extLst>
            <a:ext uri="{FF2B5EF4-FFF2-40B4-BE49-F238E27FC236}">
              <a16:creationId xmlns:a16="http://schemas.microsoft.com/office/drawing/2014/main" id="{00000000-0008-0000-1000-00002F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0" y="4276725"/>
          <a:ext cx="4543425" cy="18764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590550</xdr:colOff>
      <xdr:row>28</xdr:row>
      <xdr:rowOff>38100</xdr:rowOff>
    </xdr:from>
    <xdr:to>
      <xdr:col>11</xdr:col>
      <xdr:colOff>266700</xdr:colOff>
      <xdr:row>36</xdr:row>
      <xdr:rowOff>66675</xdr:rowOff>
    </xdr:to>
    <xdr:pic>
      <xdr:nvPicPr>
        <xdr:cNvPr id="13360" name="Picture 3">
          <a:extLst>
            <a:ext uri="{FF2B5EF4-FFF2-40B4-BE49-F238E27FC236}">
              <a16:creationId xmlns:a16="http://schemas.microsoft.com/office/drawing/2014/main" id="{00000000-0008-0000-1000-0000303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6075" y="6248400"/>
          <a:ext cx="4467225" cy="31051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352424</xdr:colOff>
      <xdr:row>55</xdr:row>
      <xdr:rowOff>76200</xdr:rowOff>
    </xdr:from>
    <xdr:to>
      <xdr:col>6</xdr:col>
      <xdr:colOff>57149</xdr:colOff>
      <xdr:row>69</xdr:row>
      <xdr:rowOff>85725</xdr:rowOff>
    </xdr:to>
    <xdr:sp macro="" textlink="">
      <xdr:nvSpPr>
        <xdr:cNvPr id="2" name="Tekstfelt 1">
          <a:extLst>
            <a:ext uri="{FF2B5EF4-FFF2-40B4-BE49-F238E27FC236}">
              <a16:creationId xmlns:a16="http://schemas.microsoft.com/office/drawing/2014/main" id="{00000000-0008-0000-1000-000002000000}"/>
            </a:ext>
          </a:extLst>
        </xdr:cNvPr>
        <xdr:cNvSpPr txBox="1"/>
      </xdr:nvSpPr>
      <xdr:spPr>
        <a:xfrm>
          <a:off x="962024" y="11915775"/>
          <a:ext cx="6943725" cy="2276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Udledning af CO2:</a:t>
          </a:r>
          <a:endParaRPr lang="da-DK" sz="1100">
            <a:solidFill>
              <a:schemeClr val="dk1"/>
            </a:solidFill>
            <a:effectLst/>
            <a:latin typeface="+mn-lt"/>
            <a:ea typeface="+mn-ea"/>
            <a:cs typeface="+mn-cs"/>
          </a:endParaRPr>
        </a:p>
        <a:p>
          <a:r>
            <a:rPr lang="da-DK" sz="1100" i="1">
              <a:solidFill>
                <a:schemeClr val="dk1"/>
              </a:solidFill>
              <a:effectLst/>
              <a:latin typeface="+mn-lt"/>
              <a:ea typeface="+mn-ea"/>
              <a:cs typeface="+mn-cs"/>
            </a:rPr>
            <a:t>200 gram oksekød: 5,6 kg CO2</a:t>
          </a:r>
          <a:endParaRPr lang="da-DK" sz="1100">
            <a:solidFill>
              <a:schemeClr val="dk1"/>
            </a:solidFill>
            <a:effectLst/>
            <a:latin typeface="+mn-lt"/>
            <a:ea typeface="+mn-ea"/>
            <a:cs typeface="+mn-cs"/>
          </a:endParaRPr>
        </a:p>
        <a:p>
          <a:r>
            <a:rPr lang="da-DK" sz="1100" i="1">
              <a:solidFill>
                <a:schemeClr val="dk1"/>
              </a:solidFill>
              <a:effectLst/>
              <a:latin typeface="+mn-lt"/>
              <a:ea typeface="+mn-ea"/>
              <a:cs typeface="+mn-cs"/>
            </a:rPr>
            <a:t>200 gram svinekød: 580 gram CO2</a:t>
          </a:r>
          <a:endParaRPr lang="da-DK" sz="1100">
            <a:solidFill>
              <a:schemeClr val="dk1"/>
            </a:solidFill>
            <a:effectLst/>
            <a:latin typeface="+mn-lt"/>
            <a:ea typeface="+mn-ea"/>
            <a:cs typeface="+mn-cs"/>
          </a:endParaRPr>
        </a:p>
        <a:p>
          <a:r>
            <a:rPr lang="da-DK" sz="1100" i="1">
              <a:solidFill>
                <a:schemeClr val="dk1"/>
              </a:solidFill>
              <a:effectLst/>
              <a:latin typeface="+mn-lt"/>
              <a:ea typeface="+mn-ea"/>
              <a:cs typeface="+mn-cs"/>
            </a:rPr>
            <a:t>200 gram fjerkræ: min. 520 gram CO2</a:t>
          </a:r>
          <a:endParaRPr lang="da-DK" sz="1100">
            <a:solidFill>
              <a:schemeClr val="dk1"/>
            </a:solidFill>
            <a:effectLst/>
            <a:latin typeface="+mn-lt"/>
            <a:ea typeface="+mn-ea"/>
            <a:cs typeface="+mn-cs"/>
          </a:endParaRPr>
        </a:p>
        <a:p>
          <a:r>
            <a:rPr lang="da-DK" sz="1100" i="1">
              <a:solidFill>
                <a:schemeClr val="dk1"/>
              </a:solidFill>
              <a:effectLst/>
              <a:latin typeface="+mn-lt"/>
              <a:ea typeface="+mn-ea"/>
              <a:cs typeface="+mn-cs"/>
            </a:rPr>
            <a:t>30 gram ost: min. 300 gram CO2</a:t>
          </a:r>
          <a:endParaRPr lang="da-DK" sz="1100">
            <a:solidFill>
              <a:schemeClr val="dk1"/>
            </a:solidFill>
            <a:effectLst/>
            <a:latin typeface="+mn-lt"/>
            <a:ea typeface="+mn-ea"/>
            <a:cs typeface="+mn-cs"/>
          </a:endParaRPr>
        </a:p>
        <a:p>
          <a:r>
            <a:rPr lang="en-GB" sz="1100" i="1">
              <a:solidFill>
                <a:schemeClr val="dk1"/>
              </a:solidFill>
              <a:effectLst/>
              <a:latin typeface="+mn-lt"/>
              <a:ea typeface="+mn-ea"/>
              <a:cs typeface="+mn-cs"/>
            </a:rPr>
            <a:t>1 dansk tomat: 280 gram CO2</a:t>
          </a:r>
          <a:endParaRPr lang="da-DK" sz="1100">
            <a:solidFill>
              <a:schemeClr val="dk1"/>
            </a:solidFill>
            <a:effectLst/>
            <a:latin typeface="+mn-lt"/>
            <a:ea typeface="+mn-ea"/>
            <a:cs typeface="+mn-cs"/>
          </a:endParaRPr>
        </a:p>
        <a:p>
          <a:r>
            <a:rPr lang="en-GB" sz="1100" i="1">
              <a:solidFill>
                <a:schemeClr val="dk1"/>
              </a:solidFill>
              <a:effectLst/>
              <a:latin typeface="+mn-lt"/>
              <a:ea typeface="+mn-ea"/>
              <a:cs typeface="+mn-cs"/>
            </a:rPr>
            <a:t>1 glas mælk: 240 gram CO2</a:t>
          </a:r>
          <a:endParaRPr lang="da-DK" sz="1100">
            <a:solidFill>
              <a:schemeClr val="dk1"/>
            </a:solidFill>
            <a:effectLst/>
            <a:latin typeface="+mn-lt"/>
            <a:ea typeface="+mn-ea"/>
            <a:cs typeface="+mn-cs"/>
          </a:endParaRPr>
        </a:p>
        <a:p>
          <a:r>
            <a:rPr lang="en-GB" sz="1100" i="1">
              <a:solidFill>
                <a:schemeClr val="dk1"/>
              </a:solidFill>
              <a:effectLst/>
              <a:latin typeface="+mn-lt"/>
              <a:ea typeface="+mn-ea"/>
              <a:cs typeface="+mn-cs"/>
            </a:rPr>
            <a:t>160 gram brød: 128 gram CO2</a:t>
          </a:r>
          <a:endParaRPr lang="da-DK" sz="1100">
            <a:solidFill>
              <a:schemeClr val="dk1"/>
            </a:solidFill>
            <a:effectLst/>
            <a:latin typeface="+mn-lt"/>
            <a:ea typeface="+mn-ea"/>
            <a:cs typeface="+mn-cs"/>
          </a:endParaRPr>
        </a:p>
        <a:p>
          <a:r>
            <a:rPr lang="en-GB" sz="1100" i="1">
              <a:solidFill>
                <a:schemeClr val="dk1"/>
              </a:solidFill>
              <a:effectLst/>
              <a:latin typeface="+mn-lt"/>
              <a:ea typeface="+mn-ea"/>
              <a:cs typeface="+mn-cs"/>
            </a:rPr>
            <a:t>2 æbler: 96 gram CO2</a:t>
          </a:r>
          <a:endParaRPr lang="da-DK" sz="1100">
            <a:solidFill>
              <a:schemeClr val="dk1"/>
            </a:solidFill>
            <a:effectLst/>
            <a:latin typeface="+mn-lt"/>
            <a:ea typeface="+mn-ea"/>
            <a:cs typeface="+mn-cs"/>
          </a:endParaRPr>
        </a:p>
        <a:p>
          <a:r>
            <a:rPr lang="da-DK" sz="1100" i="1">
              <a:solidFill>
                <a:schemeClr val="dk1"/>
              </a:solidFill>
              <a:effectLst/>
              <a:latin typeface="+mn-lt"/>
              <a:ea typeface="+mn-ea"/>
              <a:cs typeface="+mn-cs"/>
            </a:rPr>
            <a:t>200 gram kartofler: 44 gram CO2</a:t>
          </a:r>
          <a:endParaRPr lang="da-DK" sz="1100">
            <a:solidFill>
              <a:schemeClr val="dk1"/>
            </a:solidFill>
            <a:effectLst/>
            <a:latin typeface="+mn-lt"/>
            <a:ea typeface="+mn-ea"/>
            <a:cs typeface="+mn-cs"/>
          </a:endParaRPr>
        </a:p>
        <a:p>
          <a:r>
            <a:rPr lang="da-DK" sz="1100" i="1">
              <a:solidFill>
                <a:schemeClr val="dk1"/>
              </a:solidFill>
              <a:effectLst/>
              <a:latin typeface="+mn-lt"/>
              <a:ea typeface="+mn-ea"/>
              <a:cs typeface="+mn-cs"/>
            </a:rPr>
            <a:t>Kilde: Institut for Jordbrugsvidenskab og Miljø, Aarhus Universitet.</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http://www.landbrugsavisen.dk/Nyheder/Netnyheder/2008/8/27/Spis+mindre+oksekoed+og+red+klimaet.htm</a:t>
          </a:r>
        </a:p>
        <a:p>
          <a:endParaRPr lang="da-DK" sz="1100"/>
        </a:p>
      </xdr:txBody>
    </xdr:sp>
    <xdr:clientData/>
  </xdr:twoCellAnchor>
  <xdr:twoCellAnchor>
    <xdr:from>
      <xdr:col>1</xdr:col>
      <xdr:colOff>533400</xdr:colOff>
      <xdr:row>71</xdr:row>
      <xdr:rowOff>38100</xdr:rowOff>
    </xdr:from>
    <xdr:to>
      <xdr:col>4</xdr:col>
      <xdr:colOff>1466850</xdr:colOff>
      <xdr:row>76</xdr:row>
      <xdr:rowOff>57150</xdr:rowOff>
    </xdr:to>
    <xdr:sp macro="" textlink="">
      <xdr:nvSpPr>
        <xdr:cNvPr id="3" name="Tekstfelt 2">
          <a:extLst>
            <a:ext uri="{FF2B5EF4-FFF2-40B4-BE49-F238E27FC236}">
              <a16:creationId xmlns:a16="http://schemas.microsoft.com/office/drawing/2014/main" id="{00000000-0008-0000-1000-000003000000}"/>
            </a:ext>
          </a:extLst>
        </xdr:cNvPr>
        <xdr:cNvSpPr txBox="1"/>
      </xdr:nvSpPr>
      <xdr:spPr>
        <a:xfrm>
          <a:off x="1143000" y="14468475"/>
          <a:ext cx="4448175"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da-DK" sz="1100">
              <a:solidFill>
                <a:schemeClr val="dk1"/>
              </a:solidFill>
              <a:effectLst/>
              <a:latin typeface="+mn-lt"/>
              <a:ea typeface="+mn-ea"/>
              <a:cs typeface="+mn-cs"/>
            </a:rPr>
            <a:t>1 ton bananer fra Mellemamerika til Europa:  80 Kg CO2</a:t>
          </a:r>
        </a:p>
        <a:p>
          <a:pPr hangingPunct="0"/>
          <a:r>
            <a:rPr lang="da-DK" sz="1100">
              <a:solidFill>
                <a:schemeClr val="dk1"/>
              </a:solidFill>
              <a:effectLst/>
              <a:latin typeface="+mn-lt"/>
              <a:ea typeface="+mn-ea"/>
              <a:cs typeface="+mn-cs"/>
            </a:rPr>
            <a:t>Med skib:  godt 8 Kg CO2.</a:t>
          </a:r>
        </a:p>
        <a:p>
          <a:r>
            <a:rPr lang="da-DK" sz="1100">
              <a:solidFill>
                <a:schemeClr val="dk1"/>
              </a:solidFill>
              <a:effectLst/>
              <a:latin typeface="+mn-lt"/>
              <a:ea typeface="+mn-ea"/>
              <a:cs typeface="+mn-cs"/>
            </a:rPr>
            <a:t>JP, 27 Aug 08</a:t>
          </a:r>
        </a:p>
        <a:p>
          <a:endParaRPr lang="da-DK" sz="1100"/>
        </a:p>
      </xdr:txBody>
    </xdr:sp>
    <xdr:clientData/>
  </xdr:twoCellAnchor>
  <xdr:twoCellAnchor editAs="oneCell">
    <xdr:from>
      <xdr:col>6</xdr:col>
      <xdr:colOff>371475</xdr:colOff>
      <xdr:row>45</xdr:row>
      <xdr:rowOff>0</xdr:rowOff>
    </xdr:from>
    <xdr:to>
      <xdr:col>17</xdr:col>
      <xdr:colOff>332542</xdr:colOff>
      <xdr:row>64</xdr:row>
      <xdr:rowOff>28168</xdr:rowOff>
    </xdr:to>
    <xdr:pic>
      <xdr:nvPicPr>
        <xdr:cNvPr id="6" name="Billede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4"/>
        <a:stretch>
          <a:fillRect/>
        </a:stretch>
      </xdr:blipFill>
      <xdr:spPr>
        <a:xfrm>
          <a:off x="8220075" y="10067925"/>
          <a:ext cx="6666667" cy="3257143"/>
        </a:xfrm>
        <a:prstGeom prst="rect">
          <a:avLst/>
        </a:prstGeom>
      </xdr:spPr>
    </xdr:pic>
    <xdr:clientData/>
  </xdr:twoCellAnchor>
  <xdr:twoCellAnchor>
    <xdr:from>
      <xdr:col>15</xdr:col>
      <xdr:colOff>0</xdr:colOff>
      <xdr:row>1</xdr:row>
      <xdr:rowOff>0</xdr:rowOff>
    </xdr:from>
    <xdr:to>
      <xdr:col>19</xdr:col>
      <xdr:colOff>333375</xdr:colOff>
      <xdr:row>2</xdr:row>
      <xdr:rowOff>76200</xdr:rowOff>
    </xdr:to>
    <xdr:sp macro="" textlink="">
      <xdr:nvSpPr>
        <xdr:cNvPr id="8" name="Tekstfelt 7">
          <a:extLst>
            <a:ext uri="{FF2B5EF4-FFF2-40B4-BE49-F238E27FC236}">
              <a16:creationId xmlns:a16="http://schemas.microsoft.com/office/drawing/2014/main" id="{00000000-0008-0000-1000-000008000000}"/>
            </a:ext>
          </a:extLst>
        </xdr:cNvPr>
        <xdr:cNvSpPr txBox="1"/>
      </xdr:nvSpPr>
      <xdr:spPr>
        <a:xfrm>
          <a:off x="13335000" y="171450"/>
          <a:ext cx="2771775"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a:solidFill>
                <a:schemeClr val="dk1"/>
              </a:solidFill>
              <a:effectLst/>
              <a:latin typeface="+mn-lt"/>
              <a:ea typeface="+mn-ea"/>
              <a:cs typeface="+mn-cs"/>
            </a:rPr>
            <a:t>Her ses mængde og fordeling af dagrenovation fra enfamilieboliger på landsplan: </a:t>
          </a:r>
          <a:endParaRPr lang="da-DK"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590550</xdr:colOff>
      <xdr:row>91</xdr:row>
      <xdr:rowOff>28575</xdr:rowOff>
    </xdr:from>
    <xdr:to>
      <xdr:col>6</xdr:col>
      <xdr:colOff>533400</xdr:colOff>
      <xdr:row>97</xdr:row>
      <xdr:rowOff>76200</xdr:rowOff>
    </xdr:to>
    <xdr:sp macro="" textlink="">
      <xdr:nvSpPr>
        <xdr:cNvPr id="3077" name="Text Box 5">
          <a:extLst>
            <a:ext uri="{FF2B5EF4-FFF2-40B4-BE49-F238E27FC236}">
              <a16:creationId xmlns:a16="http://schemas.microsoft.com/office/drawing/2014/main" id="{00000000-0008-0000-1100-0000050C0000}"/>
            </a:ext>
          </a:extLst>
        </xdr:cNvPr>
        <xdr:cNvSpPr txBox="1">
          <a:spLocks noChangeArrowheads="1"/>
        </xdr:cNvSpPr>
      </xdr:nvSpPr>
      <xdr:spPr bwMode="auto">
        <a:xfrm>
          <a:off x="1200150" y="15792450"/>
          <a:ext cx="4743450" cy="1019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lnSpc>
              <a:spcPts val="900"/>
            </a:lnSpc>
            <a:defRPr sz="1000"/>
          </a:pPr>
          <a:r>
            <a:rPr lang="da-DK" sz="1000" b="0" i="0" u="none" strike="noStrike" baseline="0">
              <a:solidFill>
                <a:srgbClr val="000000"/>
              </a:solidFill>
              <a:latin typeface="Arial"/>
              <a:cs typeface="Arial"/>
            </a:rPr>
            <a:t>(1) Brændselsforbrug gange brændværdi. I virkeligheden bruges der mere energi, da der også bruges energi til udvinding. De øvrige, udledninger, er data incl. emissioner fra udvinding af olie, raffinering og transport og fra udstødning, når lastbilen kører.</a:t>
          </a:r>
        </a:p>
      </xdr:txBody>
    </xdr:sp>
    <xdr:clientData/>
  </xdr:twoCellAnchor>
  <xdr:twoCellAnchor>
    <xdr:from>
      <xdr:col>14</xdr:col>
      <xdr:colOff>85725</xdr:colOff>
      <xdr:row>14</xdr:row>
      <xdr:rowOff>28575</xdr:rowOff>
    </xdr:from>
    <xdr:to>
      <xdr:col>17</xdr:col>
      <xdr:colOff>409575</xdr:colOff>
      <xdr:row>20</xdr:row>
      <xdr:rowOff>114300</xdr:rowOff>
    </xdr:to>
    <xdr:sp macro="" textlink="">
      <xdr:nvSpPr>
        <xdr:cNvPr id="2" name="Tekstfelt 1">
          <a:extLst>
            <a:ext uri="{FF2B5EF4-FFF2-40B4-BE49-F238E27FC236}">
              <a16:creationId xmlns:a16="http://schemas.microsoft.com/office/drawing/2014/main" id="{00000000-0008-0000-1100-000002000000}"/>
            </a:ext>
          </a:extLst>
        </xdr:cNvPr>
        <xdr:cNvSpPr txBox="1"/>
      </xdr:nvSpPr>
      <xdr:spPr>
        <a:xfrm>
          <a:off x="12877800" y="2581275"/>
          <a:ext cx="4800600"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Data for transport, pr 1000 kg transporteret 1 km. Tallene er under forudsætning af gennemsnitlig udnyttelse af lastkapaciteten, iregnet tom retur. ( 93 % for jernbane, 40 % for små lastbiler, 70 % for store lastbiler og 50 % for skibe.</a:t>
          </a:r>
        </a:p>
        <a:p>
          <a:endParaRPr lang="da-DK" sz="1100"/>
        </a:p>
      </xdr:txBody>
    </xdr:sp>
    <xdr:clientData/>
  </xdr:twoCellAnchor>
  <xdr:twoCellAnchor editAs="oneCell">
    <xdr:from>
      <xdr:col>6</xdr:col>
      <xdr:colOff>0</xdr:colOff>
      <xdr:row>61</xdr:row>
      <xdr:rowOff>0</xdr:rowOff>
    </xdr:from>
    <xdr:to>
      <xdr:col>9</xdr:col>
      <xdr:colOff>381000</xdr:colOff>
      <xdr:row>67</xdr:row>
      <xdr:rowOff>28575</xdr:rowOff>
    </xdr:to>
    <xdr:pic>
      <xdr:nvPicPr>
        <xdr:cNvPr id="4" name="Billede 3">
          <a:extLst>
            <a:ext uri="{FF2B5EF4-FFF2-40B4-BE49-F238E27FC236}">
              <a16:creationId xmlns:a16="http://schemas.microsoft.com/office/drawing/2014/main" id="{00000000-0008-0000-1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10191750"/>
          <a:ext cx="3038475" cy="10001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19050</xdr:colOff>
      <xdr:row>3</xdr:row>
      <xdr:rowOff>85725</xdr:rowOff>
    </xdr:from>
    <xdr:to>
      <xdr:col>15</xdr:col>
      <xdr:colOff>19050</xdr:colOff>
      <xdr:row>10</xdr:row>
      <xdr:rowOff>123825</xdr:rowOff>
    </xdr:to>
    <xdr:sp macro="" textlink="">
      <xdr:nvSpPr>
        <xdr:cNvPr id="2" name="Text Box 3">
          <a:extLst>
            <a:ext uri="{FF2B5EF4-FFF2-40B4-BE49-F238E27FC236}">
              <a16:creationId xmlns:a16="http://schemas.microsoft.com/office/drawing/2014/main" id="{00000000-0008-0000-1200-000002000000}"/>
            </a:ext>
          </a:extLst>
        </xdr:cNvPr>
        <xdr:cNvSpPr txBox="1">
          <a:spLocks noChangeArrowheads="1"/>
        </xdr:cNvSpPr>
      </xdr:nvSpPr>
      <xdr:spPr bwMode="auto">
        <a:xfrm>
          <a:off x="19050" y="828675"/>
          <a:ext cx="14649450" cy="1171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80" mc:Ignorable="a14" a14:legacySpreadsheetColorIndex="18"/>
          </a:solidFill>
          <a:miter lim="800000"/>
          <a:headEnd/>
          <a:tailEnd/>
        </a:ln>
      </xdr:spPr>
      <xdr:txBody>
        <a:bodyPr vertOverflow="clip" wrap="square" lIns="27432" tIns="22860" rIns="0" bIns="0" anchor="t" upright="1"/>
        <a:lstStyle/>
        <a:p>
          <a:pPr algn="l" rtl="0">
            <a:defRPr sz="1000"/>
          </a:pPr>
          <a:r>
            <a:rPr lang="da-DK" sz="1000" b="1" i="0" u="none" strike="noStrike" baseline="0">
              <a:solidFill>
                <a:srgbClr val="000080"/>
              </a:solidFill>
              <a:latin typeface="Arial"/>
              <a:cs typeface="Arial"/>
            </a:rPr>
            <a:t>Instructions for calculating greenhouse emissions</a:t>
          </a:r>
          <a:endParaRPr lang="da-DK" sz="1000" b="0" i="0" u="none" strike="noStrike" baseline="0">
            <a:solidFill>
              <a:srgbClr val="000080"/>
            </a:solidFill>
            <a:latin typeface="Arial"/>
            <a:cs typeface="Arial"/>
          </a:endParaRPr>
        </a:p>
        <a:p>
          <a:pPr algn="l" rtl="0">
            <a:defRPr sz="1000"/>
          </a:pPr>
          <a:r>
            <a:rPr lang="da-DK" sz="1000" b="0" i="0" u="none" strike="noStrike" baseline="0">
              <a:solidFill>
                <a:srgbClr val="000080"/>
              </a:solidFill>
              <a:latin typeface="Arial"/>
              <a:cs typeface="Arial"/>
            </a:rPr>
            <a:t>1. Input the fuel used annually for the vehicle for the relevant fuel type (NB this input is used to calculate the direct carbon dioxide emissions).</a:t>
          </a:r>
        </a:p>
        <a:p>
          <a:pPr algn="l" rtl="0">
            <a:defRPr sz="1000"/>
          </a:pPr>
          <a:r>
            <a:rPr lang="da-DK" sz="1000" b="0" i="0" u="none" strike="noStrike" baseline="0">
              <a:solidFill>
                <a:srgbClr val="000080"/>
              </a:solidFill>
              <a:latin typeface="Arial"/>
              <a:cs typeface="Arial"/>
            </a:rPr>
            <a:t>2. Input the kilometres travelled annually for the vehicle for the relevant fuel type (NB this input is used to calculate the methane and nitrous oxide emissions).</a:t>
          </a:r>
        </a:p>
        <a:p>
          <a:pPr algn="l" rtl="0">
            <a:defRPr sz="1000"/>
          </a:pPr>
          <a:r>
            <a:rPr lang="da-DK" sz="1000" b="0" i="0" u="none" strike="noStrike" baseline="0">
              <a:solidFill>
                <a:srgbClr val="000080"/>
              </a:solidFill>
              <a:latin typeface="Arial"/>
              <a:cs typeface="Arial"/>
            </a:rPr>
            <a:t>3. The greenhouse gas emissions from the vehicle is produced in column "D" of the table with the total greenhouse gas emissions for all fuel types provided in cell D15 (NB this is the total carbon dioxide equivalent from all three greenhouse gases).</a:t>
          </a:r>
        </a:p>
        <a:p>
          <a:pPr algn="l" rtl="0">
            <a:defRPr sz="1000"/>
          </a:pPr>
          <a:r>
            <a:rPr lang="da-DK" sz="1000" b="0" i="0" u="none" strike="noStrike" baseline="0">
              <a:solidFill>
                <a:srgbClr val="000080"/>
              </a:solidFill>
              <a:latin typeface="Arial"/>
              <a:cs typeface="Arial"/>
            </a:rPr>
            <a:t>4. The annual fuel usage in gigajoules has been provided in column "E" for each fuel type with the total annual fuel usage for all fuel types provided in cell E15.</a:t>
          </a:r>
        </a:p>
        <a:p>
          <a:pPr algn="l" rtl="0">
            <a:defRPr sz="1000"/>
          </a:pPr>
          <a:endParaRPr lang="da-DK" sz="1000" b="0" i="0" u="none" strike="noStrike" baseline="0">
            <a:solidFill>
              <a:srgbClr val="000080"/>
            </a:solidFill>
            <a:latin typeface="Arial"/>
            <a:cs typeface="Arial"/>
          </a:endParaRPr>
        </a:p>
      </xdr:txBody>
    </xdr:sp>
    <xdr:clientData/>
  </xdr:twoCellAnchor>
  <xdr:twoCellAnchor editAs="oneCell">
    <xdr:from>
      <xdr:col>0</xdr:col>
      <xdr:colOff>76200</xdr:colOff>
      <xdr:row>1</xdr:row>
      <xdr:rowOff>0</xdr:rowOff>
    </xdr:from>
    <xdr:to>
      <xdr:col>3</xdr:col>
      <xdr:colOff>76200</xdr:colOff>
      <xdr:row>1</xdr:row>
      <xdr:rowOff>1000125</xdr:rowOff>
    </xdr:to>
    <xdr:pic>
      <xdr:nvPicPr>
        <xdr:cNvPr id="3" name="Picture 4" descr="G:\2003-2004\Internet\Content\Government EMS\vehicle_greenhouse_calculator.gif">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3886200"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571500</xdr:colOff>
      <xdr:row>4</xdr:row>
      <xdr:rowOff>28575</xdr:rowOff>
    </xdr:from>
    <xdr:to>
      <xdr:col>15</xdr:col>
      <xdr:colOff>228600</xdr:colOff>
      <xdr:row>26</xdr:row>
      <xdr:rowOff>190500</xdr:rowOff>
    </xdr:to>
    <xdr:sp macro="" textlink="">
      <xdr:nvSpPr>
        <xdr:cNvPr id="7170" name="Text Box 2">
          <a:extLst>
            <a:ext uri="{FF2B5EF4-FFF2-40B4-BE49-F238E27FC236}">
              <a16:creationId xmlns:a16="http://schemas.microsoft.com/office/drawing/2014/main" id="{00000000-0008-0000-1300-0000021C0000}"/>
            </a:ext>
          </a:extLst>
        </xdr:cNvPr>
        <xdr:cNvSpPr txBox="1">
          <a:spLocks noChangeArrowheads="1"/>
        </xdr:cNvSpPr>
      </xdr:nvSpPr>
      <xdr:spPr bwMode="auto">
        <a:xfrm>
          <a:off x="8772525" y="685800"/>
          <a:ext cx="2705100" cy="31337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da-DK" sz="1000" b="0" i="0" u="none" strike="noStrike" baseline="0">
              <a:solidFill>
                <a:srgbClr val="000000"/>
              </a:solidFill>
              <a:latin typeface="Arial"/>
              <a:cs typeface="Arial"/>
            </a:rPr>
            <a:t>Hver verdensborger påvirker årligt omgivelserne med flg. tal (pr. 1990 ) Tallene tilstræbes reduceret ca. 20 % år 2000. </a:t>
          </a:r>
        </a:p>
        <a:p>
          <a:pPr algn="l" rtl="0">
            <a:defRPr sz="1000"/>
          </a:pPr>
          <a:endParaRPr lang="da-DK" sz="1000" b="0" i="0" u="none" strike="noStrike" baseline="0">
            <a:solidFill>
              <a:srgbClr val="000000"/>
            </a:solidFill>
            <a:latin typeface="Arial"/>
            <a:cs typeface="Arial"/>
          </a:endParaRPr>
        </a:p>
        <a:p>
          <a:pPr algn="l" rtl="0">
            <a:defRPr sz="1000"/>
          </a:pPr>
          <a:r>
            <a:rPr lang="da-DK" sz="1000" b="0" i="0" u="none" strike="noStrike" baseline="0">
              <a:solidFill>
                <a:srgbClr val="000000"/>
              </a:solidFill>
              <a:latin typeface="Arial"/>
              <a:cs typeface="Arial"/>
            </a:rPr>
            <a:t>Tallene angiver en persons samlede bidrag til miljøeffekterne. Kommer fra mange ting, fra forbrug af el ( lys, madlavning, radio, TV osv. ) opvarmning af bolig ( med fx. oliefyr eller naturgas ), transport, fremstilling af mad, tøj og diverse materielle goder som møbler mm. </a:t>
          </a:r>
        </a:p>
        <a:p>
          <a:pPr algn="l" rtl="0">
            <a:defRPr sz="1000"/>
          </a:pPr>
          <a:endParaRPr lang="da-DK" sz="1000" b="0" i="0" u="none" strike="noStrike" baseline="0">
            <a:solidFill>
              <a:srgbClr val="000000"/>
            </a:solidFill>
            <a:latin typeface="Arial"/>
            <a:cs typeface="Arial"/>
          </a:endParaRPr>
        </a:p>
        <a:p>
          <a:pPr algn="l" rtl="0">
            <a:defRPr sz="1000"/>
          </a:pPr>
          <a:r>
            <a:rPr lang="da-DK" sz="1000" b="0" i="0" u="none" strike="noStrike" baseline="0">
              <a:solidFill>
                <a:srgbClr val="000000"/>
              </a:solidFill>
              <a:latin typeface="Arial"/>
              <a:cs typeface="Arial"/>
            </a:rPr>
            <a:t>Alle disse bidrag giver tilsammen det, der kaldes 1 person-ækvivalent ( PE ) i gennemsnit for en verdensborger.</a:t>
          </a:r>
        </a:p>
        <a:p>
          <a:pPr algn="l" rtl="0">
            <a:defRPr sz="1000"/>
          </a:pPr>
          <a:endParaRPr lang="da-DK" sz="1000" b="0" i="0" u="none" strike="noStrike" baseline="0">
            <a:solidFill>
              <a:srgbClr val="000000"/>
            </a:solidFill>
            <a:latin typeface="Arial"/>
            <a:cs typeface="Arial"/>
          </a:endParaRPr>
        </a:p>
      </xdr:txBody>
    </xdr:sp>
    <xdr:clientData/>
  </xdr:twoCellAnchor>
  <xdr:twoCellAnchor editAs="oneCell">
    <xdr:from>
      <xdr:col>1</xdr:col>
      <xdr:colOff>9525</xdr:colOff>
      <xdr:row>35</xdr:row>
      <xdr:rowOff>38100</xdr:rowOff>
    </xdr:from>
    <xdr:to>
      <xdr:col>4</xdr:col>
      <xdr:colOff>428625</xdr:colOff>
      <xdr:row>63</xdr:row>
      <xdr:rowOff>19050</xdr:rowOff>
    </xdr:to>
    <xdr:pic>
      <xdr:nvPicPr>
        <xdr:cNvPr id="3" name="Billede 2">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7143750"/>
          <a:ext cx="3724275" cy="4514850"/>
        </a:xfrm>
        <a:prstGeom prst="rect">
          <a:avLst/>
        </a:prstGeom>
        <a:noFill/>
        <a:ln>
          <a:noFill/>
        </a:ln>
      </xdr:spPr>
    </xdr:pic>
    <xdr:clientData/>
  </xdr:twoCellAnchor>
  <xdr:twoCellAnchor editAs="oneCell">
    <xdr:from>
      <xdr:col>5</xdr:col>
      <xdr:colOff>0</xdr:colOff>
      <xdr:row>36</xdr:row>
      <xdr:rowOff>0</xdr:rowOff>
    </xdr:from>
    <xdr:to>
      <xdr:col>11</xdr:col>
      <xdr:colOff>171450</xdr:colOff>
      <xdr:row>72</xdr:row>
      <xdr:rowOff>123825</xdr:rowOff>
    </xdr:to>
    <xdr:pic>
      <xdr:nvPicPr>
        <xdr:cNvPr id="4" name="Billede 3">
          <a:extLst>
            <a:ext uri="{FF2B5EF4-FFF2-40B4-BE49-F238E27FC236}">
              <a16:creationId xmlns:a16="http://schemas.microsoft.com/office/drawing/2014/main" id="{00000000-0008-0000-13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53025" y="7267575"/>
          <a:ext cx="4524375" cy="5953125"/>
        </a:xfrm>
        <a:prstGeom prst="rect">
          <a:avLst/>
        </a:prstGeom>
        <a:noFill/>
        <a:ln>
          <a:noFill/>
        </a:ln>
      </xdr:spPr>
    </xdr:pic>
    <xdr:clientData/>
  </xdr:twoCellAnchor>
  <xdr:twoCellAnchor>
    <xdr:from>
      <xdr:col>5</xdr:col>
      <xdr:colOff>95250</xdr:colOff>
      <xdr:row>74</xdr:row>
      <xdr:rowOff>95250</xdr:rowOff>
    </xdr:from>
    <xdr:to>
      <xdr:col>11</xdr:col>
      <xdr:colOff>400050</xdr:colOff>
      <xdr:row>84</xdr:row>
      <xdr:rowOff>0</xdr:rowOff>
    </xdr:to>
    <xdr:sp macro="" textlink="">
      <xdr:nvSpPr>
        <xdr:cNvPr id="2" name="Tekstfelt 1">
          <a:extLst>
            <a:ext uri="{FF2B5EF4-FFF2-40B4-BE49-F238E27FC236}">
              <a16:creationId xmlns:a16="http://schemas.microsoft.com/office/drawing/2014/main" id="{00000000-0008-0000-1300-000002000000}"/>
            </a:ext>
          </a:extLst>
        </xdr:cNvPr>
        <xdr:cNvSpPr txBox="1"/>
      </xdr:nvSpPr>
      <xdr:spPr>
        <a:xfrm>
          <a:off x="5248275" y="13515975"/>
          <a:ext cx="4657725"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da-DK" sz="1100">
              <a:solidFill>
                <a:schemeClr val="dk1"/>
              </a:solidFill>
              <a:effectLst/>
              <a:latin typeface="+mn-lt"/>
              <a:ea typeface="+mn-ea"/>
              <a:cs typeface="+mn-cs"/>
            </a:rPr>
            <a:t>Noter: </a:t>
          </a:r>
        </a:p>
        <a:p>
          <a:pPr hangingPunct="0"/>
          <a:r>
            <a:rPr lang="da-DK" sz="1100">
              <a:solidFill>
                <a:schemeClr val="dk1"/>
              </a:solidFill>
              <a:effectLst/>
              <a:latin typeface="+mn-lt"/>
              <a:ea typeface="+mn-ea"/>
              <a:cs typeface="+mn-cs"/>
            </a:rPr>
            <a:t>1) Godskrivning, hvis materialet kan genbruges som nyt. Husk, at energiforbruget</a:t>
          </a:r>
        </a:p>
        <a:p>
          <a:pPr hangingPunct="0"/>
          <a:r>
            <a:rPr lang="da-DK" sz="1100">
              <a:solidFill>
                <a:schemeClr val="dk1"/>
              </a:solidFill>
              <a:effectLst/>
              <a:latin typeface="+mn-lt"/>
              <a:ea typeface="+mn-ea"/>
              <a:cs typeface="+mn-cs"/>
            </a:rPr>
            <a:t>ved genvindingsprocessen skal tilskrives for at godskrivningen kan foretages.</a:t>
          </a:r>
        </a:p>
        <a:p>
          <a:pPr hangingPunct="0"/>
          <a:r>
            <a:rPr lang="da-DK" sz="1100">
              <a:solidFill>
                <a:schemeClr val="dk1"/>
              </a:solidFill>
              <a:effectLst/>
              <a:latin typeface="+mn-lt"/>
              <a:ea typeface="+mn-ea"/>
              <a:cs typeface="+mn-cs"/>
            </a:rPr>
            <a:t>2) Ved forbrænding godskrives 80% af materialets brændværdi</a:t>
          </a:r>
        </a:p>
        <a:p>
          <a:pPr hangingPunct="0"/>
          <a:r>
            <a:rPr lang="da-DK" sz="1100">
              <a:solidFill>
                <a:schemeClr val="dk1"/>
              </a:solidFill>
              <a:effectLst/>
              <a:latin typeface="+mn-lt"/>
              <a:ea typeface="+mn-ea"/>
              <a:cs typeface="+mn-cs"/>
            </a:rPr>
            <a:t>3) Aluminiums brændværdi sættes til 27 MJ/kg for folie og 0 MJ/kg for</a:t>
          </a:r>
        </a:p>
        <a:p>
          <a:pPr hangingPunct="0"/>
          <a:r>
            <a:rPr lang="da-DK" sz="1100">
              <a:solidFill>
                <a:schemeClr val="dk1"/>
              </a:solidFill>
              <a:effectLst/>
              <a:latin typeface="+mn-lt"/>
              <a:ea typeface="+mn-ea"/>
              <a:cs typeface="+mn-cs"/>
            </a:rPr>
            <a:t>øvrige materialetyper</a:t>
          </a:r>
        </a:p>
        <a:p>
          <a:endParaRPr lang="da-DK"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85725</xdr:colOff>
      <xdr:row>5</xdr:row>
      <xdr:rowOff>171450</xdr:rowOff>
    </xdr:from>
    <xdr:to>
      <xdr:col>13</xdr:col>
      <xdr:colOff>161925</xdr:colOff>
      <xdr:row>23</xdr:row>
      <xdr:rowOff>38100</xdr:rowOff>
    </xdr:to>
    <xdr:pic>
      <xdr:nvPicPr>
        <xdr:cNvPr id="2" name="Billede 1">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1162050"/>
          <a:ext cx="4343400" cy="4086225"/>
        </a:xfrm>
        <a:prstGeom prst="rect">
          <a:avLst/>
        </a:prstGeom>
        <a:noFill/>
        <a:ln>
          <a:noFill/>
        </a:ln>
      </xdr:spPr>
    </xdr:pic>
    <xdr:clientData/>
  </xdr:twoCellAnchor>
  <xdr:twoCellAnchor>
    <xdr:from>
      <xdr:col>6</xdr:col>
      <xdr:colOff>495300</xdr:colOff>
      <xdr:row>2</xdr:row>
      <xdr:rowOff>66675</xdr:rowOff>
    </xdr:from>
    <xdr:to>
      <xdr:col>11</xdr:col>
      <xdr:colOff>561975</xdr:colOff>
      <xdr:row>5</xdr:row>
      <xdr:rowOff>9525</xdr:rowOff>
    </xdr:to>
    <xdr:sp macro="" textlink="">
      <xdr:nvSpPr>
        <xdr:cNvPr id="3" name="Tekstfelt 2">
          <a:extLst>
            <a:ext uri="{FF2B5EF4-FFF2-40B4-BE49-F238E27FC236}">
              <a16:creationId xmlns:a16="http://schemas.microsoft.com/office/drawing/2014/main" id="{00000000-0008-0000-1400-000003000000}"/>
            </a:ext>
          </a:extLst>
        </xdr:cNvPr>
        <xdr:cNvSpPr txBox="1"/>
      </xdr:nvSpPr>
      <xdr:spPr>
        <a:xfrm>
          <a:off x="6829425" y="400050"/>
          <a:ext cx="3114675"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1" u="none" strike="noStrike" baseline="0">
              <a:solidFill>
                <a:schemeClr val="dk1"/>
              </a:solidFill>
              <a:latin typeface="+mn-lt"/>
              <a:ea typeface="+mn-ea"/>
              <a:cs typeface="+mn-cs"/>
            </a:rPr>
            <a:t>Energiforbrug ved processer.</a:t>
          </a:r>
        </a:p>
        <a:p>
          <a:endParaRPr lang="da-DK" sz="1100" b="0" i="1" u="none" strike="noStrike" baseline="0">
            <a:solidFill>
              <a:schemeClr val="dk1"/>
            </a:solidFill>
            <a:latin typeface="+mn-lt"/>
            <a:ea typeface="+mn-ea"/>
            <a:cs typeface="+mn-cs"/>
          </a:endParaRPr>
        </a:p>
        <a:p>
          <a:r>
            <a:rPr lang="da-DK" sz="1100" b="0" i="1" u="none" strike="noStrike" baseline="0">
              <a:solidFill>
                <a:schemeClr val="dk1"/>
              </a:solidFill>
              <a:latin typeface="+mn-lt"/>
              <a:ea typeface="+mn-ea"/>
              <a:cs typeface="+mn-cs"/>
            </a:rPr>
            <a:t>Kilde:  Håndbog i miljøvurdring af produkter</a:t>
          </a:r>
          <a:endParaRPr lang="da-DK"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209550</xdr:colOff>
      <xdr:row>138</xdr:row>
      <xdr:rowOff>76200</xdr:rowOff>
    </xdr:from>
    <xdr:to>
      <xdr:col>10</xdr:col>
      <xdr:colOff>19050</xdr:colOff>
      <xdr:row>147</xdr:row>
      <xdr:rowOff>133350</xdr:rowOff>
    </xdr:to>
    <xdr:sp macro="" textlink="">
      <xdr:nvSpPr>
        <xdr:cNvPr id="2" name="Tekstfelt 1">
          <a:extLst>
            <a:ext uri="{FF2B5EF4-FFF2-40B4-BE49-F238E27FC236}">
              <a16:creationId xmlns:a16="http://schemas.microsoft.com/office/drawing/2014/main" id="{00000000-0008-0000-1600-000002000000}"/>
            </a:ext>
          </a:extLst>
        </xdr:cNvPr>
        <xdr:cNvSpPr txBox="1"/>
      </xdr:nvSpPr>
      <xdr:spPr>
        <a:xfrm>
          <a:off x="7315200" y="23660100"/>
          <a:ext cx="4114800"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baseline="0">
              <a:solidFill>
                <a:schemeClr val="dk1"/>
              </a:solidFill>
              <a:latin typeface="+mn-lt"/>
              <a:ea typeface="+mn-ea"/>
              <a:cs typeface="+mn-cs"/>
            </a:rPr>
            <a:t>I tabel B.2 er angivet energiforbruget ved fremstilling af materialer.</a:t>
          </a:r>
        </a:p>
        <a:p>
          <a:r>
            <a:rPr lang="da-DK" sz="1100" b="0" i="0" u="none" strike="noStrike" baseline="0">
              <a:solidFill>
                <a:schemeClr val="dk1"/>
              </a:solidFill>
              <a:latin typeface="+mn-lt"/>
              <a:ea typeface="+mn-ea"/>
              <a:cs typeface="+mn-cs"/>
            </a:rPr>
            <a:t>Energimængden er opgjort som primær procesenergi og omfatter</a:t>
          </a:r>
        </a:p>
        <a:p>
          <a:r>
            <a:rPr lang="da-DK" sz="1100" b="0" i="0" u="none" strike="noStrike" baseline="0">
              <a:solidFill>
                <a:schemeClr val="dk1"/>
              </a:solidFill>
              <a:latin typeface="+mn-lt"/>
              <a:ea typeface="+mn-ea"/>
              <a:cs typeface="+mn-cs"/>
            </a:rPr>
            <a:t>den energimængde, der medgår til fremstilling og oparbejdning af</a:t>
          </a:r>
        </a:p>
        <a:p>
          <a:r>
            <a:rPr lang="da-DK" sz="1100" b="0" i="0" u="none" strike="noStrike" baseline="0">
              <a:solidFill>
                <a:schemeClr val="dk1"/>
              </a:solidFill>
              <a:latin typeface="+mn-lt"/>
              <a:ea typeface="+mn-ea"/>
              <a:cs typeface="+mn-cs"/>
            </a:rPr>
            <a:t>materialet. Energiindholdet i form af den nedre brændværdi er ligeledes</a:t>
          </a:r>
        </a:p>
        <a:p>
          <a:r>
            <a:rPr lang="da-DK" sz="1100" b="0" i="0" u="none" strike="noStrike" baseline="0">
              <a:solidFill>
                <a:schemeClr val="dk1"/>
              </a:solidFill>
              <a:latin typeface="+mn-lt"/>
              <a:ea typeface="+mn-ea"/>
              <a:cs typeface="+mn-cs"/>
            </a:rPr>
            <a:t>angivet. Energien er opgjort i MJ pr. kg materiale.</a:t>
          </a:r>
        </a:p>
        <a:p>
          <a:endParaRPr lang="da-DK" sz="1100" b="0" i="0" u="none" strike="noStrike" baseline="0">
            <a:solidFill>
              <a:schemeClr val="dk1"/>
            </a:solidFill>
            <a:latin typeface="+mn-lt"/>
            <a:ea typeface="+mn-ea"/>
            <a:cs typeface="+mn-cs"/>
          </a:endParaRPr>
        </a:p>
        <a:p>
          <a:r>
            <a:rPr lang="da-DK" sz="1100" b="0" i="0" u="none" strike="noStrike" baseline="0">
              <a:solidFill>
                <a:schemeClr val="dk1"/>
              </a:solidFill>
              <a:latin typeface="+mn-lt"/>
              <a:ea typeface="+mn-ea"/>
              <a:cs typeface="+mn-cs"/>
            </a:rPr>
            <a:t>Kilde: Håndbog i miljøvurdering af produkter</a:t>
          </a:r>
          <a:endParaRPr lang="da-DK" sz="1100"/>
        </a:p>
      </xdr:txBody>
    </xdr:sp>
    <xdr:clientData/>
  </xdr:twoCellAnchor>
  <xdr:twoCellAnchor editAs="oneCell">
    <xdr:from>
      <xdr:col>0</xdr:col>
      <xdr:colOff>561975</xdr:colOff>
      <xdr:row>134</xdr:row>
      <xdr:rowOff>130016</xdr:rowOff>
    </xdr:from>
    <xdr:to>
      <xdr:col>4</xdr:col>
      <xdr:colOff>1018059</xdr:colOff>
      <xdr:row>168</xdr:row>
      <xdr:rowOff>160964</xdr:rowOff>
    </xdr:to>
    <xdr:pic>
      <xdr:nvPicPr>
        <xdr:cNvPr id="3" name="Billed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stretch>
          <a:fillRect/>
        </a:stretch>
      </xdr:blipFill>
      <xdr:spPr>
        <a:xfrm>
          <a:off x="561975" y="23066216"/>
          <a:ext cx="6428259" cy="5536398"/>
        </a:xfrm>
        <a:prstGeom prst="rect">
          <a:avLst/>
        </a:prstGeom>
      </xdr:spPr>
    </xdr:pic>
    <xdr:clientData/>
  </xdr:twoCellAnchor>
  <xdr:twoCellAnchor editAs="oneCell">
    <xdr:from>
      <xdr:col>0</xdr:col>
      <xdr:colOff>476251</xdr:colOff>
      <xdr:row>170</xdr:row>
      <xdr:rowOff>53239</xdr:rowOff>
    </xdr:from>
    <xdr:to>
      <xdr:col>4</xdr:col>
      <xdr:colOff>1019175</xdr:colOff>
      <xdr:row>210</xdr:row>
      <xdr:rowOff>160796</xdr:rowOff>
    </xdr:to>
    <xdr:pic>
      <xdr:nvPicPr>
        <xdr:cNvPr id="4" name="Billede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2"/>
        <a:stretch>
          <a:fillRect/>
        </a:stretch>
      </xdr:blipFill>
      <xdr:spPr>
        <a:xfrm>
          <a:off x="476251" y="28818739"/>
          <a:ext cx="6515099" cy="6584557"/>
        </a:xfrm>
        <a:prstGeom prst="rect">
          <a:avLst/>
        </a:prstGeom>
      </xdr:spPr>
    </xdr:pic>
    <xdr:clientData/>
  </xdr:twoCellAnchor>
  <xdr:twoCellAnchor editAs="oneCell">
    <xdr:from>
      <xdr:col>0</xdr:col>
      <xdr:colOff>485775</xdr:colOff>
      <xdr:row>212</xdr:row>
      <xdr:rowOff>9525</xdr:rowOff>
    </xdr:from>
    <xdr:to>
      <xdr:col>4</xdr:col>
      <xdr:colOff>1057124</xdr:colOff>
      <xdr:row>235</xdr:row>
      <xdr:rowOff>18414</xdr:rowOff>
    </xdr:to>
    <xdr:pic>
      <xdr:nvPicPr>
        <xdr:cNvPr id="5" name="Billede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3"/>
        <a:stretch>
          <a:fillRect/>
        </a:stretch>
      </xdr:blipFill>
      <xdr:spPr>
        <a:xfrm>
          <a:off x="485775" y="35575875"/>
          <a:ext cx="6543524" cy="3733164"/>
        </a:xfrm>
        <a:prstGeom prst="rect">
          <a:avLst/>
        </a:prstGeom>
      </xdr:spPr>
    </xdr:pic>
    <xdr:clientData/>
  </xdr:twoCellAnchor>
  <xdr:twoCellAnchor editAs="oneCell">
    <xdr:from>
      <xdr:col>2</xdr:col>
      <xdr:colOff>0</xdr:colOff>
      <xdr:row>243</xdr:row>
      <xdr:rowOff>0</xdr:rowOff>
    </xdr:from>
    <xdr:to>
      <xdr:col>7</xdr:col>
      <xdr:colOff>180118</xdr:colOff>
      <xdr:row>268</xdr:row>
      <xdr:rowOff>123304</xdr:rowOff>
    </xdr:to>
    <xdr:pic>
      <xdr:nvPicPr>
        <xdr:cNvPr id="6" name="Billede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4"/>
        <a:stretch>
          <a:fillRect/>
        </a:stretch>
      </xdr:blipFill>
      <xdr:spPr>
        <a:xfrm>
          <a:off x="2057400" y="40586025"/>
          <a:ext cx="6857143" cy="4171429"/>
        </a:xfrm>
        <a:prstGeom prst="rect">
          <a:avLst/>
        </a:prstGeom>
      </xdr:spPr>
    </xdr:pic>
    <xdr:clientData/>
  </xdr:twoCellAnchor>
  <xdr:twoCellAnchor>
    <xdr:from>
      <xdr:col>6</xdr:col>
      <xdr:colOff>647700</xdr:colOff>
      <xdr:row>238</xdr:row>
      <xdr:rowOff>76200</xdr:rowOff>
    </xdr:from>
    <xdr:to>
      <xdr:col>11</xdr:col>
      <xdr:colOff>571500</xdr:colOff>
      <xdr:row>244</xdr:row>
      <xdr:rowOff>142875</xdr:rowOff>
    </xdr:to>
    <xdr:sp macro="" textlink="">
      <xdr:nvSpPr>
        <xdr:cNvPr id="7" name="Tekstfelt 6">
          <a:extLst>
            <a:ext uri="{FF2B5EF4-FFF2-40B4-BE49-F238E27FC236}">
              <a16:creationId xmlns:a16="http://schemas.microsoft.com/office/drawing/2014/main" id="{00000000-0008-0000-1600-000007000000}"/>
            </a:ext>
          </a:extLst>
        </xdr:cNvPr>
        <xdr:cNvSpPr txBox="1"/>
      </xdr:nvSpPr>
      <xdr:spPr>
        <a:xfrm>
          <a:off x="8601075" y="39852600"/>
          <a:ext cx="3990975" cy="10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1" u="none" strike="noStrike" baseline="0">
              <a:solidFill>
                <a:schemeClr val="dk1"/>
              </a:solidFill>
              <a:latin typeface="+mn-lt"/>
              <a:ea typeface="+mn-ea"/>
              <a:cs typeface="+mn-cs"/>
            </a:rPr>
            <a:t>Energiforbrug ved oparbejdning af udvalgte materialer.</a:t>
          </a:r>
        </a:p>
        <a:p>
          <a:r>
            <a:rPr lang="da-DK" sz="1100" b="0" i="1" u="none" strike="noStrike" baseline="0">
              <a:solidFill>
                <a:schemeClr val="dk1"/>
              </a:solidFill>
              <a:latin typeface="+mn-lt"/>
              <a:ea typeface="+mn-ea"/>
              <a:cs typeface="+mn-cs"/>
            </a:rPr>
            <a:t>Energiforbrugene er estimeret fra UMIPdatabasen.</a:t>
          </a:r>
        </a:p>
        <a:p>
          <a:endParaRPr lang="da-DK" sz="1100" b="0" i="1" u="none" strike="noStrike" baseline="0">
            <a:solidFill>
              <a:schemeClr val="dk1"/>
            </a:solidFill>
            <a:latin typeface="+mn-lt"/>
            <a:ea typeface="+mn-ea"/>
            <a:cs typeface="+mn-cs"/>
          </a:endParaRPr>
        </a:p>
        <a:p>
          <a:r>
            <a:rPr lang="da-DK" sz="1100" b="0" i="1" u="none" strike="noStrike" baseline="0">
              <a:solidFill>
                <a:schemeClr val="dk1"/>
              </a:solidFill>
              <a:latin typeface="+mn-lt"/>
              <a:ea typeface="+mn-ea"/>
              <a:cs typeface="+mn-cs"/>
            </a:rPr>
            <a:t>Kilde: Håndbog i miljøvurdering af produkter</a:t>
          </a:r>
          <a:endParaRPr lang="da-DK"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323850</xdr:colOff>
      <xdr:row>4</xdr:row>
      <xdr:rowOff>0</xdr:rowOff>
    </xdr:from>
    <xdr:to>
      <xdr:col>14</xdr:col>
      <xdr:colOff>9525</xdr:colOff>
      <xdr:row>11</xdr:row>
      <xdr:rowOff>47625</xdr:rowOff>
    </xdr:to>
    <xdr:sp macro="" textlink="">
      <xdr:nvSpPr>
        <xdr:cNvPr id="4097" name="Text Box 1">
          <a:extLst>
            <a:ext uri="{FF2B5EF4-FFF2-40B4-BE49-F238E27FC236}">
              <a16:creationId xmlns:a16="http://schemas.microsoft.com/office/drawing/2014/main" id="{00000000-0008-0000-0100-000001100000}"/>
            </a:ext>
          </a:extLst>
        </xdr:cNvPr>
        <xdr:cNvSpPr txBox="1">
          <a:spLocks noChangeArrowheads="1"/>
        </xdr:cNvSpPr>
      </xdr:nvSpPr>
      <xdr:spPr bwMode="auto">
        <a:xfrm>
          <a:off x="5915025" y="742950"/>
          <a:ext cx="4381500" cy="1314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da-DK" sz="1000" b="0" i="0" u="none" strike="noStrike" baseline="0">
              <a:solidFill>
                <a:srgbClr val="000000"/>
              </a:solidFill>
              <a:latin typeface="Arial"/>
              <a:cs typeface="Arial"/>
            </a:rPr>
            <a:t>(1) Fossilt råmateriale er den mængde fossil energireserve, naturgas eller olie, der er bundet i produktet.</a:t>
          </a:r>
        </a:p>
        <a:p>
          <a:pPr algn="l" rtl="0">
            <a:defRPr sz="1000"/>
          </a:pPr>
          <a:endParaRPr lang="da-DK" sz="1000" b="0" i="0" u="none" strike="noStrike" baseline="0">
            <a:solidFill>
              <a:srgbClr val="000000"/>
            </a:solidFill>
            <a:latin typeface="Arial"/>
            <a:cs typeface="Arial"/>
          </a:endParaRPr>
        </a:p>
        <a:p>
          <a:pPr algn="l" rtl="0">
            <a:defRPr sz="1000"/>
          </a:pPr>
          <a:r>
            <a:rPr lang="da-DK" sz="1000" b="0" i="0" u="none" strike="noStrike" baseline="0">
              <a:solidFill>
                <a:srgbClr val="000000"/>
              </a:solidFill>
              <a:latin typeface="Arial"/>
              <a:cs typeface="Arial"/>
            </a:rPr>
            <a:t>For aluminium og stål er der dog tale om kulstofforbindelser, som indgår i fremstillingsprocessen og som ikke senere kan udnyttes.</a:t>
          </a:r>
        </a:p>
      </xdr:txBody>
    </xdr:sp>
    <xdr:clientData/>
  </xdr:twoCellAnchor>
  <xdr:twoCellAnchor editAs="oneCell">
    <xdr:from>
      <xdr:col>0</xdr:col>
      <xdr:colOff>381000</xdr:colOff>
      <xdr:row>34</xdr:row>
      <xdr:rowOff>114300</xdr:rowOff>
    </xdr:from>
    <xdr:to>
      <xdr:col>4</xdr:col>
      <xdr:colOff>542925</xdr:colOff>
      <xdr:row>48</xdr:row>
      <xdr:rowOff>28575</xdr:rowOff>
    </xdr:to>
    <xdr:pic>
      <xdr:nvPicPr>
        <xdr:cNvPr id="4141" name="Picture 2">
          <a:extLst>
            <a:ext uri="{FF2B5EF4-FFF2-40B4-BE49-F238E27FC236}">
              <a16:creationId xmlns:a16="http://schemas.microsoft.com/office/drawing/2014/main" id="{00000000-0008-0000-0100-00002D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6686550"/>
          <a:ext cx="3476625" cy="2181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5</xdr:col>
      <xdr:colOff>895350</xdr:colOff>
      <xdr:row>36</xdr:row>
      <xdr:rowOff>114300</xdr:rowOff>
    </xdr:from>
    <xdr:to>
      <xdr:col>10</xdr:col>
      <xdr:colOff>266700</xdr:colOff>
      <xdr:row>41</xdr:row>
      <xdr:rowOff>47625</xdr:rowOff>
    </xdr:to>
    <xdr:sp macro="" textlink="">
      <xdr:nvSpPr>
        <xdr:cNvPr id="4100" name="Text Box 4">
          <a:extLst>
            <a:ext uri="{FF2B5EF4-FFF2-40B4-BE49-F238E27FC236}">
              <a16:creationId xmlns:a16="http://schemas.microsoft.com/office/drawing/2014/main" id="{00000000-0008-0000-0100-000004100000}"/>
            </a:ext>
          </a:extLst>
        </xdr:cNvPr>
        <xdr:cNvSpPr txBox="1">
          <a:spLocks noChangeArrowheads="1"/>
        </xdr:cNvSpPr>
      </xdr:nvSpPr>
      <xdr:spPr bwMode="auto">
        <a:xfrm>
          <a:off x="4362450" y="6924675"/>
          <a:ext cx="3581400" cy="742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da-DK" sz="1000" b="0" i="0" u="none" strike="noStrike" baseline="0">
              <a:solidFill>
                <a:srgbClr val="000000"/>
              </a:solidFill>
              <a:latin typeface="Arial"/>
              <a:cs typeface="Arial"/>
            </a:rPr>
            <a:t>Genanvendelse frem for forbrænding medfører sparet CO2-udledning.</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828675</xdr:colOff>
      <xdr:row>31</xdr:row>
      <xdr:rowOff>47625</xdr:rowOff>
    </xdr:from>
    <xdr:to>
      <xdr:col>7</xdr:col>
      <xdr:colOff>495300</xdr:colOff>
      <xdr:row>44</xdr:row>
      <xdr:rowOff>104775</xdr:rowOff>
    </xdr:to>
    <xdr:pic>
      <xdr:nvPicPr>
        <xdr:cNvPr id="2" name="Billede 1">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8275" y="5276850"/>
          <a:ext cx="4800600" cy="2162175"/>
        </a:xfrm>
        <a:prstGeom prst="rect">
          <a:avLst/>
        </a:prstGeom>
        <a:noFill/>
        <a:ln>
          <a:noFill/>
        </a:ln>
      </xdr:spPr>
    </xdr:pic>
    <xdr:clientData/>
  </xdr:twoCellAnchor>
  <xdr:twoCellAnchor>
    <xdr:from>
      <xdr:col>1</xdr:col>
      <xdr:colOff>1485900</xdr:colOff>
      <xdr:row>18</xdr:row>
      <xdr:rowOff>123825</xdr:rowOff>
    </xdr:from>
    <xdr:to>
      <xdr:col>7</xdr:col>
      <xdr:colOff>514350</xdr:colOff>
      <xdr:row>26</xdr:row>
      <xdr:rowOff>152400</xdr:rowOff>
    </xdr:to>
    <xdr:sp macro="" textlink="">
      <xdr:nvSpPr>
        <xdr:cNvPr id="3" name="Tekstfelt 2">
          <a:extLst>
            <a:ext uri="{FF2B5EF4-FFF2-40B4-BE49-F238E27FC236}">
              <a16:creationId xmlns:a16="http://schemas.microsoft.com/office/drawing/2014/main" id="{00000000-0008-0000-1700-000003000000}"/>
            </a:ext>
          </a:extLst>
        </xdr:cNvPr>
        <xdr:cNvSpPr txBox="1"/>
      </xdr:nvSpPr>
      <xdr:spPr>
        <a:xfrm>
          <a:off x="2095500" y="3248025"/>
          <a:ext cx="4162425" cy="13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b="0" i="0" u="none" strike="noStrike" baseline="0">
              <a:solidFill>
                <a:schemeClr val="dk1"/>
              </a:solidFill>
              <a:latin typeface="+mn-lt"/>
              <a:ea typeface="+mn-ea"/>
              <a:cs typeface="+mn-cs"/>
            </a:rPr>
            <a:t>Det ses, at brug af en 11 W's pære i stedet for en 60 W's pære vil medføre 13,7 kg mindre CO2 udledning på grund af det mindre energiforbrug. 	</a:t>
          </a:r>
        </a:p>
        <a:p>
          <a:pPr marL="0" marR="0" indent="0" defTabSz="914400" eaLnBrk="1" fontAlgn="auto" latinLnBrk="0" hangingPunct="1">
            <a:lnSpc>
              <a:spcPct val="100000"/>
            </a:lnSpc>
            <a:spcBef>
              <a:spcPts val="0"/>
            </a:spcBef>
            <a:spcAft>
              <a:spcPts val="0"/>
            </a:spcAft>
            <a:buClrTx/>
            <a:buSzTx/>
            <a:buFontTx/>
            <a:buNone/>
            <a:tabLst/>
            <a:defRPr/>
          </a:pPr>
          <a:endParaRPr lang="da-DK" sz="1100" b="0" i="0" u="none" strike="noStrike"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da-DK" sz="1100" b="0" i="0" u="none" strike="noStrike"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da-DK" sz="1100" b="0" i="0" u="none" strike="noStrike" baseline="0">
              <a:solidFill>
                <a:schemeClr val="dk1"/>
              </a:solidFill>
              <a:latin typeface="+mn-lt"/>
              <a:ea typeface="+mn-ea"/>
              <a:cs typeface="+mn-cs"/>
            </a:rPr>
            <a:t>I hele elsparepærens levetid spares 392 kWh (ved at bruge 11W i stedet for 60W). Det svarer til 300 kg CO2 og ca. 640 kr. 	</a:t>
          </a:r>
        </a:p>
        <a:p>
          <a:endParaRPr lang="da-DK" sz="1100"/>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18</xdr:col>
      <xdr:colOff>438150</xdr:colOff>
      <xdr:row>34</xdr:row>
      <xdr:rowOff>76200</xdr:rowOff>
    </xdr:to>
    <xdr:pic>
      <xdr:nvPicPr>
        <xdr:cNvPr id="2" name="Billed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1219200" y="571500"/>
          <a:ext cx="10191750" cy="5095875"/>
        </a:xfrm>
        <a:prstGeom prst="rect">
          <a:avLst/>
        </a:prstGeom>
      </xdr:spPr>
    </xdr:pic>
    <xdr:clientData/>
  </xdr:twoCellAnchor>
  <xdr:twoCellAnchor editAs="oneCell">
    <xdr:from>
      <xdr:col>1</xdr:col>
      <xdr:colOff>542924</xdr:colOff>
      <xdr:row>37</xdr:row>
      <xdr:rowOff>28575</xdr:rowOff>
    </xdr:from>
    <xdr:to>
      <xdr:col>18</xdr:col>
      <xdr:colOff>533399</xdr:colOff>
      <xdr:row>82</xdr:row>
      <xdr:rowOff>2150</xdr:rowOff>
    </xdr:to>
    <xdr:pic>
      <xdr:nvPicPr>
        <xdr:cNvPr id="3" name="Billed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stretch>
          <a:fillRect/>
        </a:stretch>
      </xdr:blipFill>
      <xdr:spPr>
        <a:xfrm>
          <a:off x="1152524" y="6048375"/>
          <a:ext cx="10353675" cy="7260200"/>
        </a:xfrm>
        <a:prstGeom prst="rect">
          <a:avLst/>
        </a:prstGeom>
      </xdr:spPr>
    </xdr:pic>
    <xdr:clientData/>
  </xdr:twoCellAnchor>
  <xdr:twoCellAnchor editAs="oneCell">
    <xdr:from>
      <xdr:col>3</xdr:col>
      <xdr:colOff>152400</xdr:colOff>
      <xdr:row>82</xdr:row>
      <xdr:rowOff>38100</xdr:rowOff>
    </xdr:from>
    <xdr:to>
      <xdr:col>18</xdr:col>
      <xdr:colOff>408400</xdr:colOff>
      <xdr:row>92</xdr:row>
      <xdr:rowOff>56945</xdr:rowOff>
    </xdr:to>
    <xdr:pic>
      <xdr:nvPicPr>
        <xdr:cNvPr id="4" name="Billede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3"/>
        <a:stretch>
          <a:fillRect/>
        </a:stretch>
      </xdr:blipFill>
      <xdr:spPr>
        <a:xfrm>
          <a:off x="1981200" y="13344525"/>
          <a:ext cx="9400000" cy="1638095"/>
        </a:xfrm>
        <a:prstGeom prst="rect">
          <a:avLst/>
        </a:prstGeom>
      </xdr:spPr>
    </xdr:pic>
    <xdr:clientData/>
  </xdr:twoCellAnchor>
  <xdr:twoCellAnchor editAs="oneCell">
    <xdr:from>
      <xdr:col>3</xdr:col>
      <xdr:colOff>228600</xdr:colOff>
      <xdr:row>93</xdr:row>
      <xdr:rowOff>123825</xdr:rowOff>
    </xdr:from>
    <xdr:to>
      <xdr:col>18</xdr:col>
      <xdr:colOff>436981</xdr:colOff>
      <xdr:row>103</xdr:row>
      <xdr:rowOff>114099</xdr:rowOff>
    </xdr:to>
    <xdr:pic>
      <xdr:nvPicPr>
        <xdr:cNvPr id="5" name="Billede 4">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4"/>
        <a:stretch>
          <a:fillRect/>
        </a:stretch>
      </xdr:blipFill>
      <xdr:spPr>
        <a:xfrm>
          <a:off x="2057400" y="15211425"/>
          <a:ext cx="9352381" cy="1609524"/>
        </a:xfrm>
        <a:prstGeom prst="rect">
          <a:avLst/>
        </a:prstGeom>
      </xdr:spPr>
    </xdr:pic>
    <xdr:clientData/>
  </xdr:twoCellAnchor>
  <xdr:twoCellAnchor editAs="oneCell">
    <xdr:from>
      <xdr:col>3</xdr:col>
      <xdr:colOff>276225</xdr:colOff>
      <xdr:row>105</xdr:row>
      <xdr:rowOff>95250</xdr:rowOff>
    </xdr:from>
    <xdr:to>
      <xdr:col>18</xdr:col>
      <xdr:colOff>475082</xdr:colOff>
      <xdr:row>130</xdr:row>
      <xdr:rowOff>123315</xdr:rowOff>
    </xdr:to>
    <xdr:pic>
      <xdr:nvPicPr>
        <xdr:cNvPr id="6" name="Billede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5"/>
        <a:stretch>
          <a:fillRect/>
        </a:stretch>
      </xdr:blipFill>
      <xdr:spPr>
        <a:xfrm>
          <a:off x="2105025" y="17125950"/>
          <a:ext cx="9342857" cy="4076190"/>
        </a:xfrm>
        <a:prstGeom prst="rect">
          <a:avLst/>
        </a:prstGeom>
      </xdr:spPr>
    </xdr:pic>
    <xdr:clientData/>
  </xdr:twoCellAnchor>
  <xdr:twoCellAnchor editAs="oneCell">
    <xdr:from>
      <xdr:col>2</xdr:col>
      <xdr:colOff>600075</xdr:colOff>
      <xdr:row>130</xdr:row>
      <xdr:rowOff>123825</xdr:rowOff>
    </xdr:from>
    <xdr:to>
      <xdr:col>18</xdr:col>
      <xdr:colOff>227427</xdr:colOff>
      <xdr:row>144</xdr:row>
      <xdr:rowOff>104494</xdr:rowOff>
    </xdr:to>
    <xdr:pic>
      <xdr:nvPicPr>
        <xdr:cNvPr id="7" name="Billede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6"/>
        <a:stretch>
          <a:fillRect/>
        </a:stretch>
      </xdr:blipFill>
      <xdr:spPr>
        <a:xfrm>
          <a:off x="1819275" y="21202650"/>
          <a:ext cx="9380952" cy="2247619"/>
        </a:xfrm>
        <a:prstGeom prst="rect">
          <a:avLst/>
        </a:prstGeom>
      </xdr:spPr>
    </xdr:pic>
    <xdr:clientData/>
  </xdr:twoCellAnchor>
  <xdr:twoCellAnchor editAs="oneCell">
    <xdr:from>
      <xdr:col>2</xdr:col>
      <xdr:colOff>533400</xdr:colOff>
      <xdr:row>145</xdr:row>
      <xdr:rowOff>19050</xdr:rowOff>
    </xdr:from>
    <xdr:to>
      <xdr:col>18</xdr:col>
      <xdr:colOff>179800</xdr:colOff>
      <xdr:row>161</xdr:row>
      <xdr:rowOff>28250</xdr:rowOff>
    </xdr:to>
    <xdr:pic>
      <xdr:nvPicPr>
        <xdr:cNvPr id="8" name="Billede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7"/>
        <a:stretch>
          <a:fillRect/>
        </a:stretch>
      </xdr:blipFill>
      <xdr:spPr>
        <a:xfrm>
          <a:off x="1752600" y="23526750"/>
          <a:ext cx="9400000" cy="2600000"/>
        </a:xfrm>
        <a:prstGeom prst="rect">
          <a:avLst/>
        </a:prstGeom>
      </xdr:spPr>
    </xdr:pic>
    <xdr:clientData/>
  </xdr:twoCellAnchor>
  <xdr:twoCellAnchor editAs="oneCell">
    <xdr:from>
      <xdr:col>20</xdr:col>
      <xdr:colOff>0</xdr:colOff>
      <xdr:row>4</xdr:row>
      <xdr:rowOff>0</xdr:rowOff>
    </xdr:from>
    <xdr:to>
      <xdr:col>27</xdr:col>
      <xdr:colOff>208990</xdr:colOff>
      <xdr:row>14</xdr:row>
      <xdr:rowOff>85512</xdr:rowOff>
    </xdr:to>
    <xdr:pic>
      <xdr:nvPicPr>
        <xdr:cNvPr id="9" name="Billede 8">
          <a:extLst>
            <a:ext uri="{FF2B5EF4-FFF2-40B4-BE49-F238E27FC236}">
              <a16:creationId xmlns:a16="http://schemas.microsoft.com/office/drawing/2014/main" id="{00000000-0008-0000-1800-000009000000}"/>
            </a:ext>
          </a:extLst>
        </xdr:cNvPr>
        <xdr:cNvPicPr>
          <a:picLocks noChangeAspect="1"/>
        </xdr:cNvPicPr>
      </xdr:nvPicPr>
      <xdr:blipFill>
        <a:blip xmlns:r="http://schemas.openxmlformats.org/officeDocument/2006/relationships" r:embed="rId8"/>
        <a:stretch>
          <a:fillRect/>
        </a:stretch>
      </xdr:blipFill>
      <xdr:spPr>
        <a:xfrm>
          <a:off x="12192000" y="762000"/>
          <a:ext cx="4476190" cy="1704762"/>
        </a:xfrm>
        <a:prstGeom prst="rect">
          <a:avLst/>
        </a:prstGeom>
      </xdr:spPr>
    </xdr:pic>
    <xdr:clientData/>
  </xdr:twoCellAnchor>
  <xdr:twoCellAnchor editAs="oneCell">
    <xdr:from>
      <xdr:col>2</xdr:col>
      <xdr:colOff>219075</xdr:colOff>
      <xdr:row>163</xdr:row>
      <xdr:rowOff>76200</xdr:rowOff>
    </xdr:from>
    <xdr:to>
      <xdr:col>17</xdr:col>
      <xdr:colOff>94123</xdr:colOff>
      <xdr:row>201</xdr:row>
      <xdr:rowOff>142098</xdr:rowOff>
    </xdr:to>
    <xdr:pic>
      <xdr:nvPicPr>
        <xdr:cNvPr id="10" name="Billede 9">
          <a:extLst>
            <a:ext uri="{FF2B5EF4-FFF2-40B4-BE49-F238E27FC236}">
              <a16:creationId xmlns:a16="http://schemas.microsoft.com/office/drawing/2014/main" id="{00000000-0008-0000-1800-00000A000000}"/>
            </a:ext>
          </a:extLst>
        </xdr:cNvPr>
        <xdr:cNvPicPr>
          <a:picLocks noChangeAspect="1"/>
        </xdr:cNvPicPr>
      </xdr:nvPicPr>
      <xdr:blipFill>
        <a:blip xmlns:r="http://schemas.openxmlformats.org/officeDocument/2006/relationships" r:embed="rId9"/>
        <a:stretch>
          <a:fillRect/>
        </a:stretch>
      </xdr:blipFill>
      <xdr:spPr>
        <a:xfrm>
          <a:off x="1438275" y="26498550"/>
          <a:ext cx="9019048" cy="621904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13</xdr:col>
      <xdr:colOff>0</xdr:colOff>
      <xdr:row>5</xdr:row>
      <xdr:rowOff>0</xdr:rowOff>
    </xdr:from>
    <xdr:to>
      <xdr:col>20</xdr:col>
      <xdr:colOff>76200</xdr:colOff>
      <xdr:row>30</xdr:row>
      <xdr:rowOff>19050</xdr:rowOff>
    </xdr:to>
    <xdr:pic>
      <xdr:nvPicPr>
        <xdr:cNvPr id="2" name="Billede 1">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0050" y="809625"/>
          <a:ext cx="4343400" cy="4086225"/>
        </a:xfrm>
        <a:prstGeom prst="rect">
          <a:avLst/>
        </a:prstGeom>
        <a:noFill/>
        <a:ln>
          <a:noFill/>
        </a:ln>
      </xdr:spPr>
    </xdr:pic>
    <xdr:clientData/>
  </xdr:twoCellAnchor>
  <xdr:twoCellAnchor editAs="oneCell">
    <xdr:from>
      <xdr:col>2</xdr:col>
      <xdr:colOff>0</xdr:colOff>
      <xdr:row>17</xdr:row>
      <xdr:rowOff>0</xdr:rowOff>
    </xdr:from>
    <xdr:to>
      <xdr:col>7</xdr:col>
      <xdr:colOff>476250</xdr:colOff>
      <xdr:row>21</xdr:row>
      <xdr:rowOff>66675</xdr:rowOff>
    </xdr:to>
    <xdr:pic>
      <xdr:nvPicPr>
        <xdr:cNvPr id="3" name="Billede 2">
          <a:extLst>
            <a:ext uri="{FF2B5EF4-FFF2-40B4-BE49-F238E27FC236}">
              <a16:creationId xmlns:a16="http://schemas.microsoft.com/office/drawing/2014/main" id="{00000000-0008-0000-19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2771775"/>
          <a:ext cx="3619500" cy="714375"/>
        </a:xfrm>
        <a:prstGeom prst="rect">
          <a:avLst/>
        </a:prstGeom>
        <a:noFill/>
        <a:ln>
          <a:noFill/>
        </a:ln>
      </xdr:spPr>
    </xdr:pic>
    <xdr:clientData/>
  </xdr:twoCellAnchor>
  <xdr:twoCellAnchor editAs="oneCell">
    <xdr:from>
      <xdr:col>2</xdr:col>
      <xdr:colOff>0</xdr:colOff>
      <xdr:row>24</xdr:row>
      <xdr:rowOff>0</xdr:rowOff>
    </xdr:from>
    <xdr:to>
      <xdr:col>7</xdr:col>
      <xdr:colOff>504825</xdr:colOff>
      <xdr:row>30</xdr:row>
      <xdr:rowOff>28575</xdr:rowOff>
    </xdr:to>
    <xdr:pic>
      <xdr:nvPicPr>
        <xdr:cNvPr id="4" name="Billede 3">
          <a:extLst>
            <a:ext uri="{FF2B5EF4-FFF2-40B4-BE49-F238E27FC236}">
              <a16:creationId xmlns:a16="http://schemas.microsoft.com/office/drawing/2014/main" id="{00000000-0008-0000-19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9200" y="3905250"/>
          <a:ext cx="3648075" cy="100012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276225</xdr:colOff>
      <xdr:row>2</xdr:row>
      <xdr:rowOff>1</xdr:rowOff>
    </xdr:from>
    <xdr:to>
      <xdr:col>12</xdr:col>
      <xdr:colOff>400050</xdr:colOff>
      <xdr:row>14</xdr:row>
      <xdr:rowOff>28575</xdr:rowOff>
    </xdr:to>
    <xdr:sp macro="" textlink="">
      <xdr:nvSpPr>
        <xdr:cNvPr id="2" name="Tekstfelt 1">
          <a:extLst>
            <a:ext uri="{FF2B5EF4-FFF2-40B4-BE49-F238E27FC236}">
              <a16:creationId xmlns:a16="http://schemas.microsoft.com/office/drawing/2014/main" id="{00000000-0008-0000-1B00-000002000000}"/>
            </a:ext>
          </a:extLst>
        </xdr:cNvPr>
        <xdr:cNvSpPr txBox="1"/>
      </xdr:nvSpPr>
      <xdr:spPr>
        <a:xfrm>
          <a:off x="885825" y="381001"/>
          <a:ext cx="7715250" cy="2314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a:p>
        <a:p>
          <a:pPr fontAlgn="base"/>
          <a:r>
            <a:rPr lang="da-DK" sz="1100" b="1" u="sng">
              <a:solidFill>
                <a:srgbClr val="FF0000"/>
              </a:solidFill>
              <a:effectLst/>
              <a:latin typeface="+mn-lt"/>
              <a:ea typeface="+mn-ea"/>
              <a:cs typeface="+mn-cs"/>
            </a:rPr>
            <a:t>Det skjulte ressourceforbrug</a:t>
          </a:r>
        </a:p>
        <a:p>
          <a:pPr fontAlgn="base"/>
          <a:r>
            <a:rPr lang="da-DK" sz="1100">
              <a:solidFill>
                <a:schemeClr val="dk1"/>
              </a:solidFill>
              <a:effectLst/>
              <a:latin typeface="+mn-lt"/>
              <a:ea typeface="+mn-ea"/>
              <a:cs typeface="+mn-cs"/>
            </a:rPr>
            <a:t>Når vi køber en ting, fx en mobiltelefon, og siden smider den ud, skaber vi affald. En mobiltelefon vejer mellem 100 og 200 gram og bliver til samme mængde affald. Men der blev også brugt ressourcer og skabt affald, da telefonen blev produceret og igen, da hver komponent til telefonen blev produceret.</a:t>
          </a:r>
        </a:p>
        <a:p>
          <a:pPr fontAlgn="base"/>
          <a:r>
            <a:rPr lang="da-DK" sz="1100">
              <a:solidFill>
                <a:schemeClr val="dk1"/>
              </a:solidFill>
              <a:effectLst/>
              <a:latin typeface="+mn-lt"/>
              <a:ea typeface="+mn-ea"/>
              <a:cs typeface="+mn-cs"/>
            </a:rPr>
            <a:t>Summen af disse ressourcer kaldes det skjulte ressourceforbrug. En mobiltelefon er årsag til et skjult ressourceforbrug på 26 kilo. Det er langt over 100 gange telefonens vægt. En tørretumbler har et ressourceforbrug på en ton og et fladskærms-tv på 2,6 tons!</a:t>
          </a:r>
        </a:p>
        <a:p>
          <a:pPr fontAlgn="base"/>
          <a:r>
            <a:rPr lang="da-DK" sz="1100">
              <a:solidFill>
                <a:schemeClr val="dk1"/>
              </a:solidFill>
              <a:effectLst/>
              <a:latin typeface="+mn-lt"/>
              <a:ea typeface="+mn-ea"/>
              <a:cs typeface="+mn-cs"/>
            </a:rPr>
            <a:t>Affald koster penge og ressourcer og belaster miljø og klima. Ikke bare det affald vi ser, men også det skjulte ressourceforbrug.</a:t>
          </a:r>
        </a:p>
        <a:p>
          <a:pPr fontAlgn="base"/>
          <a:r>
            <a:rPr lang="da-DK" sz="1100">
              <a:solidFill>
                <a:schemeClr val="dk1"/>
              </a:solidFill>
              <a:effectLst/>
              <a:latin typeface="+mn-lt"/>
              <a:ea typeface="+mn-ea"/>
              <a:cs typeface="+mn-cs"/>
            </a:rPr>
            <a:t>Hver dansker producerer over en halv ton synligt affald om året. Men vores samlede skjulte ressourceforbrug er på over 70 tons per indbygger. Det svarer til vægten af 60 personbiler.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Kilde:   </a:t>
          </a:r>
          <a:r>
            <a:rPr lang="da-DK" sz="1100" u="sng">
              <a:solidFill>
                <a:schemeClr val="dk1"/>
              </a:solidFill>
              <a:effectLst/>
              <a:latin typeface="+mn-lt"/>
              <a:ea typeface="+mn-ea"/>
              <a:cs typeface="+mn-cs"/>
              <a:hlinkClick xmlns:r="http://schemas.openxmlformats.org/officeDocument/2006/relationships" r:id=""/>
            </a:rPr>
            <a:t>http://www.brugmerespildmindre.dk/</a:t>
          </a:r>
          <a:endParaRPr lang="da-DK" sz="1100">
            <a:solidFill>
              <a:schemeClr val="dk1"/>
            </a:solidFill>
            <a:effectLst/>
            <a:latin typeface="+mn-lt"/>
            <a:ea typeface="+mn-ea"/>
            <a:cs typeface="+mn-cs"/>
          </a:endParaRPr>
        </a:p>
        <a:p>
          <a:endParaRPr lang="da-DK" sz="1100"/>
        </a:p>
      </xdr:txBody>
    </xdr:sp>
    <xdr:clientData/>
  </xdr:twoCellAnchor>
  <xdr:twoCellAnchor>
    <xdr:from>
      <xdr:col>8</xdr:col>
      <xdr:colOff>295275</xdr:colOff>
      <xdr:row>101</xdr:row>
      <xdr:rowOff>95250</xdr:rowOff>
    </xdr:from>
    <xdr:to>
      <xdr:col>15</xdr:col>
      <xdr:colOff>600075</xdr:colOff>
      <xdr:row>111</xdr:row>
      <xdr:rowOff>0</xdr:rowOff>
    </xdr:to>
    <xdr:sp macro="" textlink="">
      <xdr:nvSpPr>
        <xdr:cNvPr id="3" name="Tekstfelt 2">
          <a:extLst>
            <a:ext uri="{FF2B5EF4-FFF2-40B4-BE49-F238E27FC236}">
              <a16:creationId xmlns:a16="http://schemas.microsoft.com/office/drawing/2014/main" id="{00000000-0008-0000-1B00-000003000000}"/>
            </a:ext>
          </a:extLst>
        </xdr:cNvPr>
        <xdr:cNvSpPr txBox="1"/>
      </xdr:nvSpPr>
      <xdr:spPr>
        <a:xfrm>
          <a:off x="6057900" y="19716750"/>
          <a:ext cx="4572000" cy="180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da-DK" sz="1100">
              <a:solidFill>
                <a:schemeClr val="dk1"/>
              </a:solidFill>
              <a:effectLst/>
              <a:latin typeface="+mn-lt"/>
              <a:ea typeface="+mn-ea"/>
              <a:cs typeface="+mn-cs"/>
            </a:rPr>
            <a:t>Det meste af det affald, vi producerer i husholdningen, bliver brændt, og bliver til energi igen i forbrændingsanlæg. Der er dog et spild i processen, og det koster også energi at transportere affaldet til forbrændingsanlægget. Selve affaldet er således kun årsag til et begrænset udslip af drivhusgasser.</a:t>
          </a:r>
        </a:p>
        <a:p>
          <a:pPr fontAlgn="base"/>
          <a:r>
            <a:rPr lang="da-DK" sz="1100">
              <a:solidFill>
                <a:schemeClr val="dk1"/>
              </a:solidFill>
              <a:effectLst/>
              <a:latin typeface="+mn-lt"/>
              <a:ea typeface="+mn-ea"/>
              <a:cs typeface="+mn-cs"/>
            </a:rPr>
            <a:t>Men produktionen af de varer, vi forbruger, fører til udledning af drivhusgasser. Det betyder, at når vi smider ud og køber nyt, er vi årsag til udledning af drivhusgasser.</a:t>
          </a:r>
        </a:p>
        <a:p>
          <a:pPr fontAlgn="base"/>
          <a:r>
            <a:rPr lang="da-DK" sz="1100">
              <a:solidFill>
                <a:schemeClr val="dk1"/>
              </a:solidFill>
              <a:effectLst/>
              <a:latin typeface="+mn-lt"/>
              <a:ea typeface="+mn-ea"/>
              <a:cs typeface="+mn-cs"/>
            </a:rPr>
            <a:t>1 kg. smør forårsager således udledning af 2,4 kg CO2, en T-shirt 4 kg og et kg oksekød 15 kg.</a:t>
          </a:r>
        </a:p>
        <a:p>
          <a:endParaRPr lang="da-DK" sz="1100"/>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2200275</xdr:colOff>
      <xdr:row>320</xdr:row>
      <xdr:rowOff>133350</xdr:rowOff>
    </xdr:from>
    <xdr:to>
      <xdr:col>8</xdr:col>
      <xdr:colOff>0</xdr:colOff>
      <xdr:row>344</xdr:row>
      <xdr:rowOff>66675</xdr:rowOff>
    </xdr:to>
    <xdr:pic>
      <xdr:nvPicPr>
        <xdr:cNvPr id="20486" name="Picture -1020">
          <a:extLst>
            <a:ext uri="{FF2B5EF4-FFF2-40B4-BE49-F238E27FC236}">
              <a16:creationId xmlns:a16="http://schemas.microsoft.com/office/drawing/2014/main" id="{00000000-0008-0000-1C00-0000065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57" r="2863" b="9821"/>
        <a:stretch>
          <a:fillRect/>
        </a:stretch>
      </xdr:blipFill>
      <xdr:spPr bwMode="auto">
        <a:xfrm>
          <a:off x="3238500" y="60150375"/>
          <a:ext cx="5153025" cy="404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136</xdr:row>
      <xdr:rowOff>142875</xdr:rowOff>
    </xdr:from>
    <xdr:to>
      <xdr:col>4</xdr:col>
      <xdr:colOff>647700</xdr:colOff>
      <xdr:row>154</xdr:row>
      <xdr:rowOff>152400</xdr:rowOff>
    </xdr:to>
    <xdr:pic>
      <xdr:nvPicPr>
        <xdr:cNvPr id="11440" name="Picture 4">
          <a:extLst>
            <a:ext uri="{FF2B5EF4-FFF2-40B4-BE49-F238E27FC236}">
              <a16:creationId xmlns:a16="http://schemas.microsoft.com/office/drawing/2014/main" id="{00000000-0008-0000-0200-0000B0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4469725"/>
          <a:ext cx="4267200" cy="29241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10</xdr:col>
      <xdr:colOff>400050</xdr:colOff>
      <xdr:row>112</xdr:row>
      <xdr:rowOff>28575</xdr:rowOff>
    </xdr:from>
    <xdr:to>
      <xdr:col>14</xdr:col>
      <xdr:colOff>47625</xdr:colOff>
      <xdr:row>123</xdr:row>
      <xdr:rowOff>114300</xdr:rowOff>
    </xdr:to>
    <xdr:pic>
      <xdr:nvPicPr>
        <xdr:cNvPr id="11441" name="Picture 5">
          <a:extLst>
            <a:ext uri="{FF2B5EF4-FFF2-40B4-BE49-F238E27FC236}">
              <a16:creationId xmlns:a16="http://schemas.microsoft.com/office/drawing/2014/main" id="{00000000-0008-0000-0200-0000B12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82225" y="20116800"/>
          <a:ext cx="3667125" cy="22098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9</xdr:col>
      <xdr:colOff>161925</xdr:colOff>
      <xdr:row>128</xdr:row>
      <xdr:rowOff>142875</xdr:rowOff>
    </xdr:from>
    <xdr:to>
      <xdr:col>13</xdr:col>
      <xdr:colOff>619125</xdr:colOff>
      <xdr:row>139</xdr:row>
      <xdr:rowOff>76200</xdr:rowOff>
    </xdr:to>
    <xdr:pic>
      <xdr:nvPicPr>
        <xdr:cNvPr id="11442" name="Picture 6">
          <a:extLst>
            <a:ext uri="{FF2B5EF4-FFF2-40B4-BE49-F238E27FC236}">
              <a16:creationId xmlns:a16="http://schemas.microsoft.com/office/drawing/2014/main" id="{00000000-0008-0000-0200-0000B22C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496425" y="23174325"/>
          <a:ext cx="3638550" cy="1714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800100</xdr:colOff>
      <xdr:row>140</xdr:row>
      <xdr:rowOff>142875</xdr:rowOff>
    </xdr:from>
    <xdr:to>
      <xdr:col>9</xdr:col>
      <xdr:colOff>66675</xdr:colOff>
      <xdr:row>151</xdr:row>
      <xdr:rowOff>142875</xdr:rowOff>
    </xdr:to>
    <xdr:pic>
      <xdr:nvPicPr>
        <xdr:cNvPr id="11443" name="Picture 7">
          <a:extLst>
            <a:ext uri="{FF2B5EF4-FFF2-40B4-BE49-F238E27FC236}">
              <a16:creationId xmlns:a16="http://schemas.microsoft.com/office/drawing/2014/main" id="{00000000-0008-0000-0200-0000B32C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695950" y="25117425"/>
          <a:ext cx="3705225" cy="17811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6</xdr:col>
      <xdr:colOff>47625</xdr:colOff>
      <xdr:row>74</xdr:row>
      <xdr:rowOff>95250</xdr:rowOff>
    </xdr:from>
    <xdr:to>
      <xdr:col>11</xdr:col>
      <xdr:colOff>200025</xdr:colOff>
      <xdr:row>106</xdr:row>
      <xdr:rowOff>76200</xdr:rowOff>
    </xdr:to>
    <xdr:pic>
      <xdr:nvPicPr>
        <xdr:cNvPr id="11444" name="Picture 8">
          <a:extLst>
            <a:ext uri="{FF2B5EF4-FFF2-40B4-BE49-F238E27FC236}">
              <a16:creationId xmlns:a16="http://schemas.microsoft.com/office/drawing/2014/main" id="{00000000-0008-0000-0200-0000B42C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10275" y="13649325"/>
          <a:ext cx="4533900" cy="5229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609600</xdr:colOff>
      <xdr:row>108</xdr:row>
      <xdr:rowOff>114300</xdr:rowOff>
    </xdr:from>
    <xdr:to>
      <xdr:col>9</xdr:col>
      <xdr:colOff>238125</xdr:colOff>
      <xdr:row>119</xdr:row>
      <xdr:rowOff>114300</xdr:rowOff>
    </xdr:to>
    <xdr:pic>
      <xdr:nvPicPr>
        <xdr:cNvPr id="11445" name="Picture 9">
          <a:extLst>
            <a:ext uri="{FF2B5EF4-FFF2-40B4-BE49-F238E27FC236}">
              <a16:creationId xmlns:a16="http://schemas.microsoft.com/office/drawing/2014/main" id="{00000000-0008-0000-0200-0000B52C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505450" y="19554825"/>
          <a:ext cx="4067175" cy="1800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342900</xdr:colOff>
      <xdr:row>123</xdr:row>
      <xdr:rowOff>47625</xdr:rowOff>
    </xdr:from>
    <xdr:to>
      <xdr:col>8</xdr:col>
      <xdr:colOff>1171575</xdr:colOff>
      <xdr:row>138</xdr:row>
      <xdr:rowOff>85725</xdr:rowOff>
    </xdr:to>
    <xdr:pic>
      <xdr:nvPicPr>
        <xdr:cNvPr id="11446" name="Picture 10">
          <a:extLst>
            <a:ext uri="{FF2B5EF4-FFF2-40B4-BE49-F238E27FC236}">
              <a16:creationId xmlns:a16="http://schemas.microsoft.com/office/drawing/2014/main" id="{00000000-0008-0000-0200-0000B62C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238750" y="22259925"/>
          <a:ext cx="3648075" cy="2476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10</xdr:col>
      <xdr:colOff>47625</xdr:colOff>
      <xdr:row>40</xdr:row>
      <xdr:rowOff>142875</xdr:rowOff>
    </xdr:from>
    <xdr:to>
      <xdr:col>18</xdr:col>
      <xdr:colOff>514350</xdr:colOff>
      <xdr:row>49</xdr:row>
      <xdr:rowOff>57150</xdr:rowOff>
    </xdr:to>
    <xdr:sp macro="" textlink="">
      <xdr:nvSpPr>
        <xdr:cNvPr id="11278" name="Text Box 14">
          <a:extLst>
            <a:ext uri="{FF2B5EF4-FFF2-40B4-BE49-F238E27FC236}">
              <a16:creationId xmlns:a16="http://schemas.microsoft.com/office/drawing/2014/main" id="{00000000-0008-0000-0200-00000E2C0000}"/>
            </a:ext>
          </a:extLst>
        </xdr:cNvPr>
        <xdr:cNvSpPr txBox="1">
          <a:spLocks noChangeArrowheads="1"/>
        </xdr:cNvSpPr>
      </xdr:nvSpPr>
      <xdr:spPr bwMode="auto">
        <a:xfrm>
          <a:off x="9829800" y="7667625"/>
          <a:ext cx="5953125" cy="1390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da-DK" sz="1000" b="0" i="0" u="none" strike="noStrike" baseline="0">
              <a:solidFill>
                <a:srgbClr val="000000"/>
              </a:solidFill>
              <a:latin typeface="Arial"/>
              <a:cs typeface="Arial"/>
            </a:rPr>
            <a:t>En families elforbrug er gennemsnitlig 5084 kWh årligt. ( 4.000 - 4.5000 kWh i enfamiliehus, og 2000 - 2.500 kWh i lejlighed.  Et ekstra barn kan betyde 500-1000 kWh mere om året.  ?? antal personer ?? )</a:t>
          </a:r>
        </a:p>
      </xdr:txBody>
    </xdr:sp>
    <xdr:clientData/>
  </xdr:twoCellAnchor>
  <xdr:twoCellAnchor editAs="oneCell">
    <xdr:from>
      <xdr:col>7</xdr:col>
      <xdr:colOff>533400</xdr:colOff>
      <xdr:row>0</xdr:row>
      <xdr:rowOff>0</xdr:rowOff>
    </xdr:from>
    <xdr:to>
      <xdr:col>12</xdr:col>
      <xdr:colOff>409575</xdr:colOff>
      <xdr:row>14</xdr:row>
      <xdr:rowOff>180975</xdr:rowOff>
    </xdr:to>
    <xdr:pic>
      <xdr:nvPicPr>
        <xdr:cNvPr id="11448" name="Picture 15">
          <a:extLst>
            <a:ext uri="{FF2B5EF4-FFF2-40B4-BE49-F238E27FC236}">
              <a16:creationId xmlns:a16="http://schemas.microsoft.com/office/drawing/2014/main" id="{00000000-0008-0000-0200-0000B82C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639050" y="0"/>
          <a:ext cx="4067175" cy="28003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7</xdr:col>
      <xdr:colOff>581025</xdr:colOff>
      <xdr:row>14</xdr:row>
      <xdr:rowOff>114300</xdr:rowOff>
    </xdr:from>
    <xdr:to>
      <xdr:col>12</xdr:col>
      <xdr:colOff>352425</xdr:colOff>
      <xdr:row>28</xdr:row>
      <xdr:rowOff>66675</xdr:rowOff>
    </xdr:to>
    <xdr:pic>
      <xdr:nvPicPr>
        <xdr:cNvPr id="11449" name="Picture 16">
          <a:extLst>
            <a:ext uri="{FF2B5EF4-FFF2-40B4-BE49-F238E27FC236}">
              <a16:creationId xmlns:a16="http://schemas.microsoft.com/office/drawing/2014/main" id="{00000000-0008-0000-0200-0000B92C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686675" y="2733675"/>
          <a:ext cx="3962400" cy="2619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7</xdr:col>
      <xdr:colOff>552450</xdr:colOff>
      <xdr:row>28</xdr:row>
      <xdr:rowOff>28575</xdr:rowOff>
    </xdr:from>
    <xdr:to>
      <xdr:col>12</xdr:col>
      <xdr:colOff>314325</xdr:colOff>
      <xdr:row>40</xdr:row>
      <xdr:rowOff>47625</xdr:rowOff>
    </xdr:to>
    <xdr:pic>
      <xdr:nvPicPr>
        <xdr:cNvPr id="11450" name="Picture 17">
          <a:extLst>
            <a:ext uri="{FF2B5EF4-FFF2-40B4-BE49-F238E27FC236}">
              <a16:creationId xmlns:a16="http://schemas.microsoft.com/office/drawing/2014/main" id="{00000000-0008-0000-0200-0000BA2C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658100" y="5314950"/>
          <a:ext cx="3952875" cy="25527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6</xdr:col>
      <xdr:colOff>76200</xdr:colOff>
      <xdr:row>53</xdr:row>
      <xdr:rowOff>152400</xdr:rowOff>
    </xdr:from>
    <xdr:to>
      <xdr:col>9</xdr:col>
      <xdr:colOff>104775</xdr:colOff>
      <xdr:row>65</xdr:row>
      <xdr:rowOff>95250</xdr:rowOff>
    </xdr:to>
    <xdr:pic>
      <xdr:nvPicPr>
        <xdr:cNvPr id="11451" name="Picture 18">
          <a:extLst>
            <a:ext uri="{FF2B5EF4-FFF2-40B4-BE49-F238E27FC236}">
              <a16:creationId xmlns:a16="http://schemas.microsoft.com/office/drawing/2014/main" id="{00000000-0008-0000-0200-0000BB2C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038850" y="10267950"/>
          <a:ext cx="3400425" cy="1943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285750</xdr:colOff>
      <xdr:row>2</xdr:row>
      <xdr:rowOff>9525</xdr:rowOff>
    </xdr:from>
    <xdr:to>
      <xdr:col>13</xdr:col>
      <xdr:colOff>38100</xdr:colOff>
      <xdr:row>5</xdr:row>
      <xdr:rowOff>0</xdr:rowOff>
    </xdr:to>
    <xdr:sp macro="" textlink="">
      <xdr:nvSpPr>
        <xdr:cNvPr id="8193" name="Text Box 1">
          <a:extLst>
            <a:ext uri="{FF2B5EF4-FFF2-40B4-BE49-F238E27FC236}">
              <a16:creationId xmlns:a16="http://schemas.microsoft.com/office/drawing/2014/main" id="{00000000-0008-0000-0300-000001200000}"/>
            </a:ext>
          </a:extLst>
        </xdr:cNvPr>
        <xdr:cNvSpPr txBox="1">
          <a:spLocks noChangeArrowheads="1"/>
        </xdr:cNvSpPr>
      </xdr:nvSpPr>
      <xdr:spPr bwMode="auto">
        <a:xfrm>
          <a:off x="5438775" y="342900"/>
          <a:ext cx="4019550" cy="800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da-DK" sz="1000" b="0" i="0" u="none" strike="noStrike" baseline="0">
              <a:solidFill>
                <a:srgbClr val="000000"/>
              </a:solidFill>
              <a:latin typeface="Arial"/>
              <a:cs typeface="Arial"/>
            </a:rPr>
            <a:t>Udledningen af forskellige typer af stoffer giver alle et bidrag til fx. drivhuseffekten, men deres “farlighed” for fx. drivhuseffekten er forskellige. For at få en enkel størrelse at arbejde med omregnes udslip af betydning for pågældende problem. For drivhuseffekt omregnes til CO2 og kaldes så CO2-ækvivalent.</a:t>
          </a:r>
        </a:p>
      </xdr:txBody>
    </xdr:sp>
    <xdr:clientData/>
  </xdr:twoCellAnchor>
  <xdr:twoCellAnchor editAs="oneCell">
    <xdr:from>
      <xdr:col>9</xdr:col>
      <xdr:colOff>9524</xdr:colOff>
      <xdr:row>24</xdr:row>
      <xdr:rowOff>137326</xdr:rowOff>
    </xdr:from>
    <xdr:to>
      <xdr:col>13</xdr:col>
      <xdr:colOff>257174</xdr:colOff>
      <xdr:row>47</xdr:row>
      <xdr:rowOff>0</xdr:rowOff>
    </xdr:to>
    <xdr:pic>
      <xdr:nvPicPr>
        <xdr:cNvPr id="8230" name="Picture 2">
          <a:extLst>
            <a:ext uri="{FF2B5EF4-FFF2-40B4-BE49-F238E27FC236}">
              <a16:creationId xmlns:a16="http://schemas.microsoft.com/office/drawing/2014/main" id="{00000000-0008-0000-0300-00002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2599" y="7871626"/>
          <a:ext cx="5153025" cy="375839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6</xdr:col>
      <xdr:colOff>514350</xdr:colOff>
      <xdr:row>10</xdr:row>
      <xdr:rowOff>19050</xdr:rowOff>
    </xdr:from>
    <xdr:to>
      <xdr:col>14</xdr:col>
      <xdr:colOff>314325</xdr:colOff>
      <xdr:row>16</xdr:row>
      <xdr:rowOff>9525</xdr:rowOff>
    </xdr:to>
    <xdr:pic>
      <xdr:nvPicPr>
        <xdr:cNvPr id="8231" name="Billede 1">
          <a:extLst>
            <a:ext uri="{FF2B5EF4-FFF2-40B4-BE49-F238E27FC236}">
              <a16:creationId xmlns:a16="http://schemas.microsoft.com/office/drawing/2014/main" id="{00000000-0008-0000-0300-0000272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48625" y="1971675"/>
          <a:ext cx="7477125" cy="1628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11</xdr:col>
      <xdr:colOff>457200</xdr:colOff>
      <xdr:row>3</xdr:row>
      <xdr:rowOff>66675</xdr:rowOff>
    </xdr:from>
    <xdr:to>
      <xdr:col>16</xdr:col>
      <xdr:colOff>581025</xdr:colOff>
      <xdr:row>12</xdr:row>
      <xdr:rowOff>28575</xdr:rowOff>
    </xdr:to>
    <xdr:sp macro="" textlink="">
      <xdr:nvSpPr>
        <xdr:cNvPr id="16385" name="Text Box 1">
          <a:extLst>
            <a:ext uri="{FF2B5EF4-FFF2-40B4-BE49-F238E27FC236}">
              <a16:creationId xmlns:a16="http://schemas.microsoft.com/office/drawing/2014/main" id="{00000000-0008-0000-0400-000001400000}"/>
            </a:ext>
          </a:extLst>
        </xdr:cNvPr>
        <xdr:cNvSpPr txBox="1">
          <a:spLocks noChangeArrowheads="1"/>
        </xdr:cNvSpPr>
      </xdr:nvSpPr>
      <xdr:spPr bwMode="auto">
        <a:xfrm>
          <a:off x="10391775" y="1657350"/>
          <a:ext cx="3171825" cy="1419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da-DK" sz="1000" b="0" i="0" u="none" strike="noStrike" baseline="0">
              <a:solidFill>
                <a:srgbClr val="000000"/>
              </a:solidFill>
              <a:latin typeface="Arial"/>
              <a:cs typeface="Arial"/>
            </a:rPr>
            <a:t>the E- and R-parameters are two different environmental measurement-values, with different measurement-units (Mega-Joule and Person-Reserves), and they are not comparable and cannot be combined into one single figure.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371475</xdr:colOff>
      <xdr:row>1</xdr:row>
      <xdr:rowOff>114300</xdr:rowOff>
    </xdr:from>
    <xdr:to>
      <xdr:col>7</xdr:col>
      <xdr:colOff>542925</xdr:colOff>
      <xdr:row>17</xdr:row>
      <xdr:rowOff>142875</xdr:rowOff>
    </xdr:to>
    <xdr:pic>
      <xdr:nvPicPr>
        <xdr:cNvPr id="6165" name="Picture 1">
          <a:extLst>
            <a:ext uri="{FF2B5EF4-FFF2-40B4-BE49-F238E27FC236}">
              <a16:creationId xmlns:a16="http://schemas.microsoft.com/office/drawing/2014/main" id="{00000000-0008-0000-0500-000015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276225"/>
          <a:ext cx="6115050"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38</xdr:row>
      <xdr:rowOff>0</xdr:rowOff>
    </xdr:from>
    <xdr:to>
      <xdr:col>4</xdr:col>
      <xdr:colOff>161925</xdr:colOff>
      <xdr:row>46</xdr:row>
      <xdr:rowOff>123825</xdr:rowOff>
    </xdr:to>
    <xdr:pic>
      <xdr:nvPicPr>
        <xdr:cNvPr id="3" name="Billed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1050" y="13992225"/>
          <a:ext cx="3495675" cy="1733550"/>
        </a:xfrm>
        <a:prstGeom prst="rect">
          <a:avLst/>
        </a:prstGeom>
        <a:noFill/>
        <a:ln>
          <a:noFill/>
        </a:ln>
      </xdr:spPr>
    </xdr:pic>
    <xdr:clientData/>
  </xdr:twoCellAnchor>
  <xdr:twoCellAnchor editAs="oneCell">
    <xdr:from>
      <xdr:col>0</xdr:col>
      <xdr:colOff>152400</xdr:colOff>
      <xdr:row>46</xdr:row>
      <xdr:rowOff>28575</xdr:rowOff>
    </xdr:from>
    <xdr:to>
      <xdr:col>5</xdr:col>
      <xdr:colOff>352425</xdr:colOff>
      <xdr:row>64</xdr:row>
      <xdr:rowOff>38100</xdr:rowOff>
    </xdr:to>
    <xdr:pic>
      <xdr:nvPicPr>
        <xdr:cNvPr id="4" name="Billede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0" y="12030075"/>
          <a:ext cx="4924425" cy="3810000"/>
        </a:xfrm>
        <a:prstGeom prst="rect">
          <a:avLst/>
        </a:prstGeom>
        <a:noFill/>
        <a:ln>
          <a:noFill/>
        </a:ln>
      </xdr:spPr>
    </xdr:pic>
    <xdr:clientData/>
  </xdr:twoCellAnchor>
  <xdr:twoCellAnchor editAs="oneCell">
    <xdr:from>
      <xdr:col>6</xdr:col>
      <xdr:colOff>0</xdr:colOff>
      <xdr:row>38</xdr:row>
      <xdr:rowOff>0</xdr:rowOff>
    </xdr:from>
    <xdr:to>
      <xdr:col>13</xdr:col>
      <xdr:colOff>200025</xdr:colOff>
      <xdr:row>46</xdr:row>
      <xdr:rowOff>133350</xdr:rowOff>
    </xdr:to>
    <xdr:pic>
      <xdr:nvPicPr>
        <xdr:cNvPr id="5" name="Billede 4">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0" y="13992225"/>
          <a:ext cx="4724400" cy="17430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990600</xdr:colOff>
      <xdr:row>19</xdr:row>
      <xdr:rowOff>85725</xdr:rowOff>
    </xdr:from>
    <xdr:to>
      <xdr:col>5</xdr:col>
      <xdr:colOff>342900</xdr:colOff>
      <xdr:row>24</xdr:row>
      <xdr:rowOff>9525</xdr:rowOff>
    </xdr:to>
    <xdr:sp macro="" textlink="">
      <xdr:nvSpPr>
        <xdr:cNvPr id="9217" name="Text Box 1">
          <a:extLst>
            <a:ext uri="{FF2B5EF4-FFF2-40B4-BE49-F238E27FC236}">
              <a16:creationId xmlns:a16="http://schemas.microsoft.com/office/drawing/2014/main" id="{00000000-0008-0000-0600-000001240000}"/>
            </a:ext>
          </a:extLst>
        </xdr:cNvPr>
        <xdr:cNvSpPr txBox="1">
          <a:spLocks noChangeArrowheads="1"/>
        </xdr:cNvSpPr>
      </xdr:nvSpPr>
      <xdr:spPr bwMode="auto">
        <a:xfrm>
          <a:off x="2305050" y="4019550"/>
          <a:ext cx="2771775" cy="7334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da-DK" sz="1000" b="0" i="0" u="none" strike="noStrike" baseline="0">
              <a:solidFill>
                <a:srgbClr val="000000"/>
              </a:solidFill>
              <a:latin typeface="Arial"/>
              <a:cs typeface="Arial"/>
            </a:rPr>
            <a:t>(1)Traktorer ligger i den høje ende, Dieseltog i midten, Lastbiler spænder over hele intervallet, laveste gældende for motorvejskørsel, højeste i byerne.</a:t>
          </a:r>
        </a:p>
      </xdr:txBody>
    </xdr:sp>
    <xdr:clientData/>
  </xdr:twoCellAnchor>
  <xdr:twoCellAnchor editAs="oneCell">
    <xdr:from>
      <xdr:col>1</xdr:col>
      <xdr:colOff>0</xdr:colOff>
      <xdr:row>24</xdr:row>
      <xdr:rowOff>15095</xdr:rowOff>
    </xdr:from>
    <xdr:to>
      <xdr:col>9</xdr:col>
      <xdr:colOff>439097</xdr:colOff>
      <xdr:row>54</xdr:row>
      <xdr:rowOff>123824</xdr:rowOff>
    </xdr:to>
    <xdr:pic>
      <xdr:nvPicPr>
        <xdr:cNvPr id="3" name="Billede 2" descr="C:\Users\vald0159\AppData\Local\Temp\msohtmlclip1\02\clip_image001.png">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4758545"/>
          <a:ext cx="7039922" cy="51950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38100</xdr:colOff>
      <xdr:row>28</xdr:row>
      <xdr:rowOff>0</xdr:rowOff>
    </xdr:from>
    <xdr:to>
      <xdr:col>20</xdr:col>
      <xdr:colOff>344198</xdr:colOff>
      <xdr:row>52</xdr:row>
      <xdr:rowOff>19050</xdr:rowOff>
    </xdr:to>
    <xdr:pic>
      <xdr:nvPicPr>
        <xdr:cNvPr id="4" name="Billede 3" descr="C:\Users\vald0159\AppData\Local\Temp\msohtmlclip1\02\clip_image002.pn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62975" y="5391150"/>
          <a:ext cx="6402098" cy="413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428625</xdr:colOff>
      <xdr:row>5</xdr:row>
      <xdr:rowOff>142875</xdr:rowOff>
    </xdr:from>
    <xdr:to>
      <xdr:col>16</xdr:col>
      <xdr:colOff>333375</xdr:colOff>
      <xdr:row>23</xdr:row>
      <xdr:rowOff>104775</xdr:rowOff>
    </xdr:to>
    <xdr:pic>
      <xdr:nvPicPr>
        <xdr:cNvPr id="2" name="Billed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86625" y="1400175"/>
          <a:ext cx="6115050" cy="38385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140</xdr:row>
      <xdr:rowOff>104775</xdr:rowOff>
    </xdr:from>
    <xdr:to>
      <xdr:col>6</xdr:col>
      <xdr:colOff>190500</xdr:colOff>
      <xdr:row>165</xdr:row>
      <xdr:rowOff>0</xdr:rowOff>
    </xdr:to>
    <xdr:pic>
      <xdr:nvPicPr>
        <xdr:cNvPr id="2" name="Billed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23479125"/>
          <a:ext cx="4591050" cy="3943350"/>
        </a:xfrm>
        <a:prstGeom prst="rect">
          <a:avLst/>
        </a:prstGeom>
        <a:noFill/>
        <a:ln>
          <a:noFill/>
        </a:ln>
      </xdr:spPr>
    </xdr:pic>
    <xdr:clientData/>
  </xdr:twoCellAnchor>
  <xdr:twoCellAnchor editAs="oneCell">
    <xdr:from>
      <xdr:col>1</xdr:col>
      <xdr:colOff>0</xdr:colOff>
      <xdr:row>165</xdr:row>
      <xdr:rowOff>114301</xdr:rowOff>
    </xdr:from>
    <xdr:to>
      <xdr:col>6</xdr:col>
      <xdr:colOff>123825</xdr:colOff>
      <xdr:row>197</xdr:row>
      <xdr:rowOff>57151</xdr:rowOff>
    </xdr:to>
    <xdr:pic>
      <xdr:nvPicPr>
        <xdr:cNvPr id="3" name="Billed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27536776"/>
          <a:ext cx="4524375" cy="5124450"/>
        </a:xfrm>
        <a:prstGeom prst="rect">
          <a:avLst/>
        </a:prstGeom>
        <a:noFill/>
        <a:ln>
          <a:noFill/>
        </a:ln>
      </xdr:spPr>
    </xdr:pic>
    <xdr:clientData/>
  </xdr:twoCellAnchor>
  <xdr:twoCellAnchor editAs="oneCell">
    <xdr:from>
      <xdr:col>0</xdr:col>
      <xdr:colOff>609599</xdr:colOff>
      <xdr:row>197</xdr:row>
      <xdr:rowOff>123825</xdr:rowOff>
    </xdr:from>
    <xdr:to>
      <xdr:col>6</xdr:col>
      <xdr:colOff>104774</xdr:colOff>
      <xdr:row>209</xdr:row>
      <xdr:rowOff>19050</xdr:rowOff>
    </xdr:to>
    <xdr:pic>
      <xdr:nvPicPr>
        <xdr:cNvPr id="4" name="Billede 3">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599" y="32727900"/>
          <a:ext cx="4505325" cy="1838325"/>
        </a:xfrm>
        <a:prstGeom prst="rect">
          <a:avLst/>
        </a:prstGeom>
        <a:noFill/>
        <a:ln>
          <a:noFill/>
        </a:ln>
      </xdr:spPr>
    </xdr:pic>
    <xdr:clientData/>
  </xdr:twoCellAnchor>
  <xdr:twoCellAnchor editAs="oneCell">
    <xdr:from>
      <xdr:col>8</xdr:col>
      <xdr:colOff>0</xdr:colOff>
      <xdr:row>142</xdr:row>
      <xdr:rowOff>0</xdr:rowOff>
    </xdr:from>
    <xdr:to>
      <xdr:col>12</xdr:col>
      <xdr:colOff>9525</xdr:colOff>
      <xdr:row>154</xdr:row>
      <xdr:rowOff>38100</xdr:rowOff>
    </xdr:to>
    <xdr:pic>
      <xdr:nvPicPr>
        <xdr:cNvPr id="5" name="Billede 4">
          <a:extLst>
            <a:ext uri="{FF2B5EF4-FFF2-40B4-BE49-F238E27FC236}">
              <a16:creationId xmlns:a16="http://schemas.microsoft.com/office/drawing/2014/main" id="{00000000-0008-0000-08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29350" y="23698200"/>
          <a:ext cx="3314700" cy="1981200"/>
        </a:xfrm>
        <a:prstGeom prst="rect">
          <a:avLst/>
        </a:prstGeom>
        <a:noFill/>
        <a:ln>
          <a:noFill/>
        </a:ln>
      </xdr:spPr>
    </xdr:pic>
    <xdr:clientData/>
  </xdr:twoCellAnchor>
  <xdr:twoCellAnchor editAs="oneCell">
    <xdr:from>
      <xdr:col>8</xdr:col>
      <xdr:colOff>0</xdr:colOff>
      <xdr:row>101</xdr:row>
      <xdr:rowOff>0</xdr:rowOff>
    </xdr:from>
    <xdr:to>
      <xdr:col>12</xdr:col>
      <xdr:colOff>1028700</xdr:colOff>
      <xdr:row>117</xdr:row>
      <xdr:rowOff>28575</xdr:rowOff>
    </xdr:to>
    <xdr:pic>
      <xdr:nvPicPr>
        <xdr:cNvPr id="6" name="Billede 5">
          <a:extLst>
            <a:ext uri="{FF2B5EF4-FFF2-40B4-BE49-F238E27FC236}">
              <a16:creationId xmlns:a16="http://schemas.microsoft.com/office/drawing/2014/main" id="{00000000-0008-0000-0800-000006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229350" y="17011650"/>
          <a:ext cx="4333875" cy="26193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ald0159/Downloads/110807-guidelines-ghg-conversion-facto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A_QC"/>
      <sheetName val="Front Page"/>
      <sheetName val="Introduction"/>
      <sheetName val="Annex 1 Fuel Conversion Factors"/>
      <sheetName val="Annex 2 CHP Imports and Export "/>
      <sheetName val="Annex 3 Electricity Factors"/>
      <sheetName val="Annex 4 Process Emissions"/>
      <sheetName val="Annex 5 Process GWP Factors"/>
      <sheetName val="Annex 6 Passenger Transport"/>
      <sheetName val="Annex 7 Freight Transport"/>
      <sheetName val="Annex 8 Refrigeration &amp; Aircon"/>
      <sheetName val="Annex 9 Other UK Factors"/>
      <sheetName val="Annex 10 Overseas Electricity"/>
      <sheetName val="Annex 11 Fuel Properties"/>
      <sheetName val="Annex 12 Unit Conversions"/>
      <sheetName val="Annex 13 Supply Ch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2">
          <cell r="A12" t="e">
            <v>#REF!</v>
          </cell>
        </row>
      </sheetData>
      <sheetData sheetId="14" refreshError="1"/>
      <sheetData sheetId="15"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3" Type="http://schemas.openxmlformats.org/officeDocument/2006/relationships/hyperlink" Target="http://www.agrsci.dk/ny_navigation/nyheder/nyheder/flaeskestegens_miljoebelastning" TargetMode="External"/><Relationship Id="rId2" Type="http://schemas.openxmlformats.org/officeDocument/2006/relationships/hyperlink" Target="http://www.lcafood.dk/" TargetMode="External"/><Relationship Id="rId1" Type="http://schemas.openxmlformats.org/officeDocument/2006/relationships/hyperlink" Target="http://ing.dk/artikel/89445" TargetMode="External"/><Relationship Id="rId6" Type="http://schemas.openxmlformats.org/officeDocument/2006/relationships/drawing" Target="../drawings/drawing14.xml"/><Relationship Id="rId5" Type="http://schemas.openxmlformats.org/officeDocument/2006/relationships/hyperlink" Target="http://www.brugmerespildmindre.dk/hvorfor-er-affald-et-problem" TargetMode="External"/><Relationship Id="rId4" Type="http://schemas.openxmlformats.org/officeDocument/2006/relationships/hyperlink" Target="http://politiken.dk/tjek/dagligliv/forbrugguider/guidermad/article488230.ece" TargetMode="Externa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5.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1tonmindre.dk/doks/Beregningsforuds%C3%A6tninger%20final%20draft_111207.pdf"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hyperlink" Target="http://www.onlineconversion.com/"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www.censa.org.uk/" TargetMode="External"/><Relationship Id="rId7" Type="http://schemas.openxmlformats.org/officeDocument/2006/relationships/comments" Target="../comments5.xml"/><Relationship Id="rId2" Type="http://schemas.openxmlformats.org/officeDocument/2006/relationships/hyperlink" Target="http://www.censa.org.uk/" TargetMode="External"/><Relationship Id="rId1" Type="http://schemas.openxmlformats.org/officeDocument/2006/relationships/hyperlink" Target="http://www.statistics.gov.uk/statbase/Product.asp?vlnk=14012" TargetMode="External"/><Relationship Id="rId6" Type="http://schemas.openxmlformats.org/officeDocument/2006/relationships/vmlDrawing" Target="../drawings/vmlDrawing5.vml"/><Relationship Id="rId5" Type="http://schemas.openxmlformats.org/officeDocument/2006/relationships/hyperlink" Target="http://www.ons.gov.uk/about-statistics/classifications/archived/uk-standard-industrial-classification-of-ea-2003.pdf" TargetMode="External"/><Relationship Id="rId4" Type="http://schemas.openxmlformats.org/officeDocument/2006/relationships/hyperlink" Target="http://www.defra.gov.uk/environment/business/reporting/index.htm" TargetMode="External"/></Relationships>
</file>

<file path=xl/worksheets/_rels/sheet3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3" Type="http://schemas.openxmlformats.org/officeDocument/2006/relationships/hyperlink" Target="http://en.wikipedia.org/wiki/Carbon_tetrafluoride" TargetMode="External"/><Relationship Id="rId2" Type="http://schemas.openxmlformats.org/officeDocument/2006/relationships/hyperlink" Target="http://en.wikipedia.org/wiki/Nitrous_oxide" TargetMode="External"/><Relationship Id="rId1" Type="http://schemas.openxmlformats.org/officeDocument/2006/relationships/hyperlink" Target="http://en.wikipedia.org/wiki/Methane"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unfccc.int/ghg_data/items/3825.ph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ecodesignguide.dk/html_pages/down_load/index.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trafikstyrelsen.dk/~/media/Dokumenter/15%20byggeri/Baredygtigt%20byggeri/Nye%20emissionsfaktorer%20for%20el%20og%20fjernvarme%20plus%20260216.pdf"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hyperlink" Target="http://www.polynet.dk/lenau/niki_bey_phd_thesis.pdf" TargetMode="Externa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36"/>
  <sheetViews>
    <sheetView topLeftCell="A16" workbookViewId="0">
      <selection activeCell="B36" sqref="B36"/>
    </sheetView>
  </sheetViews>
  <sheetFormatPr defaultRowHeight="13.2"/>
  <cols>
    <col min="2" max="2" width="58.109375" bestFit="1" customWidth="1"/>
  </cols>
  <sheetData>
    <row r="2" spans="2:2">
      <c r="B2" s="928" t="s">
        <v>2526</v>
      </c>
    </row>
    <row r="4" spans="2:2">
      <c r="B4" s="44" t="s">
        <v>2504</v>
      </c>
    </row>
    <row r="5" spans="2:2">
      <c r="B5" s="44" t="s">
        <v>2505</v>
      </c>
    </row>
    <row r="6" spans="2:2">
      <c r="B6" s="44" t="s">
        <v>504</v>
      </c>
    </row>
    <row r="7" spans="2:2">
      <c r="B7" s="44" t="s">
        <v>783</v>
      </c>
    </row>
    <row r="8" spans="2:2">
      <c r="B8" s="44" t="s">
        <v>2506</v>
      </c>
    </row>
    <row r="9" spans="2:2">
      <c r="B9" s="44" t="s">
        <v>579</v>
      </c>
    </row>
    <row r="10" spans="2:2">
      <c r="B10" s="44" t="s">
        <v>2507</v>
      </c>
    </row>
    <row r="11" spans="2:2">
      <c r="B11" s="44" t="s">
        <v>2508</v>
      </c>
    </row>
    <row r="12" spans="2:2">
      <c r="B12" s="44" t="s">
        <v>2509</v>
      </c>
    </row>
    <row r="13" spans="2:2">
      <c r="B13" s="44" t="s">
        <v>410</v>
      </c>
    </row>
    <row r="14" spans="2:2">
      <c r="B14" s="44" t="s">
        <v>405</v>
      </c>
    </row>
    <row r="15" spans="2:2">
      <c r="B15" s="44" t="s">
        <v>408</v>
      </c>
    </row>
    <row r="16" spans="2:2">
      <c r="B16" s="44" t="s">
        <v>2510</v>
      </c>
    </row>
    <row r="17" spans="2:2">
      <c r="B17" s="44" t="s">
        <v>2511</v>
      </c>
    </row>
    <row r="18" spans="2:2">
      <c r="B18" s="44" t="s">
        <v>2512</v>
      </c>
    </row>
    <row r="19" spans="2:2">
      <c r="B19" s="44" t="s">
        <v>2513</v>
      </c>
    </row>
    <row r="20" spans="2:2">
      <c r="B20" s="44" t="s">
        <v>928</v>
      </c>
    </row>
    <row r="21" spans="2:2">
      <c r="B21" s="44" t="s">
        <v>2514</v>
      </c>
    </row>
    <row r="22" spans="2:2">
      <c r="B22" s="44" t="s">
        <v>2515</v>
      </c>
    </row>
    <row r="23" spans="2:2">
      <c r="B23" s="44" t="s">
        <v>2516</v>
      </c>
    </row>
    <row r="24" spans="2:2">
      <c r="B24" s="44" t="s">
        <v>2517</v>
      </c>
    </row>
    <row r="25" spans="2:2">
      <c r="B25" s="44" t="s">
        <v>2518</v>
      </c>
    </row>
    <row r="26" spans="2:2">
      <c r="B26" s="44" t="s">
        <v>2519</v>
      </c>
    </row>
    <row r="27" spans="2:2">
      <c r="B27" s="44" t="s">
        <v>2520</v>
      </c>
    </row>
    <row r="28" spans="2:2">
      <c r="B28" s="44" t="s">
        <v>2521</v>
      </c>
    </row>
    <row r="29" spans="2:2">
      <c r="B29" s="44" t="s">
        <v>2522</v>
      </c>
    </row>
    <row r="30" spans="2:2">
      <c r="B30" s="44" t="s">
        <v>2523</v>
      </c>
    </row>
    <row r="31" spans="2:2">
      <c r="B31" s="44" t="s">
        <v>2524</v>
      </c>
    </row>
    <row r="32" spans="2:2">
      <c r="B32" s="44" t="s">
        <v>2042</v>
      </c>
    </row>
    <row r="33" spans="2:2">
      <c r="B33" s="44" t="s">
        <v>2525</v>
      </c>
    </row>
    <row r="34" spans="2:2">
      <c r="B34" s="44" t="s">
        <v>2550</v>
      </c>
    </row>
    <row r="35" spans="2:2">
      <c r="B35" s="44" t="s">
        <v>2642</v>
      </c>
    </row>
    <row r="36" spans="2:2">
      <c r="B36" s="44" t="s">
        <v>2646</v>
      </c>
    </row>
  </sheetData>
  <phoneticPr fontId="2" type="noConversion"/>
  <hyperlinks>
    <hyperlink ref="B4" location="Emballage!A1" display="Emballage" xr:uid="{00000000-0004-0000-0000-000000000000}"/>
    <hyperlink ref="B5" location="'Boligens forbrug'!A1" display="Boligens forbrug" xr:uid="{00000000-0004-0000-0000-000001000000}"/>
    <hyperlink ref="B6" location="Effektfaktor!A1" display="Effektfaktor" xr:uid="{00000000-0004-0000-0000-000002000000}"/>
    <hyperlink ref="B7" location="'Basic Data'!A1" display="Basic Data" xr:uid="{00000000-0004-0000-0000-000003000000}"/>
    <hyperlink ref="B8" location="'CO2 udledning'!A1" display="CO2 Udledning" xr:uid="{00000000-0004-0000-0000-000004000000}"/>
    <hyperlink ref="B9" location="Energiforsyning!A1" display="Energiforsyning" xr:uid="{00000000-0004-0000-0000-000005000000}"/>
    <hyperlink ref="B10" location="'Global prod.'!A1" display="Global Produktion" xr:uid="{00000000-0004-0000-0000-000006000000}"/>
    <hyperlink ref="B11" location="'Fremstilling &amp; Brændværdi'!A1" display="Fremstillings- &amp; Brændværdi" xr:uid="{00000000-0004-0000-0000-000007000000}"/>
    <hyperlink ref="B12" location="Materiale_indhold!A1" display="Materiale-indhold" xr:uid="{00000000-0004-0000-0000-000008000000}"/>
    <hyperlink ref="B13" location="Fotokemisk!A1" display="Fotokemisk" xr:uid="{00000000-0004-0000-0000-000009000000}"/>
    <hyperlink ref="B14" location="Forsuring!A1" display="Forsuring" xr:uid="{00000000-0004-0000-0000-00000A000000}"/>
    <hyperlink ref="B15" location="Næringssalte!A1" display="Næringssalte" xr:uid="{00000000-0004-0000-0000-00000B000000}"/>
    <hyperlink ref="B16" location="Støj!A1" display="Støj" xr:uid="{00000000-0004-0000-0000-00000C000000}"/>
    <hyperlink ref="B17" location="Metanudslip!A1" display="Metan-udslip" xr:uid="{00000000-0004-0000-0000-00000D000000}"/>
    <hyperlink ref="B18" location="Metanudslip!A1" display="Boligopvarmning" xr:uid="{00000000-0004-0000-0000-00000E000000}"/>
    <hyperlink ref="B19" location="Madvarer!A1" display="Madvarer" xr:uid="{00000000-0004-0000-0000-00000F000000}"/>
    <hyperlink ref="B20" location="Transport!A1" display="Transport" xr:uid="{00000000-0004-0000-0000-000010000000}"/>
    <hyperlink ref="B21" location="'Kørsels-Calculator'!A1" display="Kørsels-Calculator" xr:uid="{00000000-0004-0000-0000-000011000000}"/>
    <hyperlink ref="B22" location="Personforbrug!A1" display="Person-udledning" xr:uid="{00000000-0004-0000-0000-000012000000}"/>
    <hyperlink ref="B23" location="Processer!A1" display="Processer" xr:uid="{00000000-0004-0000-0000-000013000000}"/>
    <hyperlink ref="B24" location="'Ulykker og lidelser'!A1" display="Ulykker og Lidelser" xr:uid="{00000000-0004-0000-0000-000014000000}"/>
    <hyperlink ref="B25" location="Energiforbrug!A1" display="Energiforbrug" xr:uid="{00000000-0004-0000-0000-000015000000}"/>
    <hyperlink ref="B26" location="Belysning!A1" display="Belysning" xr:uid="{00000000-0004-0000-0000-000016000000}"/>
    <hyperlink ref="B27" location="Fremstilling!A1" display="Fremstilling" xr:uid="{00000000-0004-0000-0000-000017000000}"/>
    <hyperlink ref="B28" location="Gloser!A1" display="Gloser" xr:uid="{00000000-0004-0000-0000-000018000000}"/>
    <hyperlink ref="B29" location="Skjult_forbrug!A1" display="Skjult forbrug" xr:uid="{00000000-0004-0000-0000-000019000000}"/>
    <hyperlink ref="B30" location="'Proces-emisioner'!A1" display="Proces-emissioner" xr:uid="{00000000-0004-0000-0000-00001A000000}"/>
    <hyperlink ref="B31" location="Konvertering!A1" display="Konvertering" xr:uid="{00000000-0004-0000-0000-00001B000000}"/>
    <hyperlink ref="B32" location="Emision!A1" display="Emission" xr:uid="{00000000-0004-0000-0000-00001C000000}"/>
    <hyperlink ref="B33" location="'Husets udledning Calculator'!A1" display="Husets Udledning, Calculator" xr:uid="{00000000-0004-0000-0000-00001D000000}"/>
    <hyperlink ref="B34" location="'Forsyningshorisont mm.'!A1" display="Forsyningshorisont og bortskaffelse" xr:uid="{00000000-0004-0000-0000-00001E000000}"/>
    <hyperlink ref="B35" location="Fuel_Emissions_sammenligning!A1" display="Emissionssammenligning for Fuel" xr:uid="{00000000-0004-0000-0000-00001F000000}"/>
    <hyperlink ref="B36" location="Basic_data_2!A1" display="Basic Data 2" xr:uid="{273F5653-8C30-4A71-B667-ACE92938C13A}"/>
  </hyperlinks>
  <printOptions gridLines="1"/>
  <pageMargins left="0.75" right="0.75" top="1" bottom="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1"/>
  </sheetPr>
  <dimension ref="A1:G28"/>
  <sheetViews>
    <sheetView workbookViewId="0"/>
  </sheetViews>
  <sheetFormatPr defaultRowHeight="13.2"/>
  <cols>
    <col min="2" max="2" width="10.6640625" customWidth="1"/>
    <col min="3" max="3" width="16.109375" bestFit="1" customWidth="1"/>
    <col min="4" max="4" width="36.88671875" bestFit="1" customWidth="1"/>
  </cols>
  <sheetData>
    <row r="1" spans="1:7" ht="13.8" thickBot="1">
      <c r="A1" s="44" t="s">
        <v>2527</v>
      </c>
    </row>
    <row r="2" spans="1:7" ht="13.8" thickBot="1">
      <c r="B2" s="109"/>
      <c r="C2" s="110" t="s">
        <v>146</v>
      </c>
      <c r="D2" s="111" t="s">
        <v>147</v>
      </c>
      <c r="G2" s="685" t="s">
        <v>1897</v>
      </c>
    </row>
    <row r="3" spans="1:7">
      <c r="B3" s="65"/>
      <c r="C3" s="70"/>
      <c r="D3" s="71"/>
    </row>
    <row r="4" spans="1:7">
      <c r="B4" s="65" t="s">
        <v>124</v>
      </c>
      <c r="C4" s="70" t="s">
        <v>125</v>
      </c>
      <c r="D4" s="71" t="s">
        <v>126</v>
      </c>
    </row>
    <row r="5" spans="1:7">
      <c r="B5" s="65"/>
      <c r="C5" s="70" t="s">
        <v>76</v>
      </c>
      <c r="D5" s="71" t="s">
        <v>126</v>
      </c>
    </row>
    <row r="6" spans="1:7">
      <c r="B6" s="65"/>
      <c r="C6" s="70" t="s">
        <v>74</v>
      </c>
      <c r="D6" s="71" t="s">
        <v>127</v>
      </c>
    </row>
    <row r="7" spans="1:7">
      <c r="B7" s="65"/>
      <c r="C7" s="70"/>
      <c r="D7" s="71"/>
    </row>
    <row r="8" spans="1:7">
      <c r="B8" s="65"/>
      <c r="C8" s="70" t="s">
        <v>45</v>
      </c>
      <c r="D8" s="71" t="s">
        <v>45</v>
      </c>
    </row>
    <row r="9" spans="1:7">
      <c r="B9" s="65"/>
      <c r="C9" s="70"/>
      <c r="D9" s="71"/>
    </row>
    <row r="10" spans="1:7">
      <c r="B10" s="65" t="s">
        <v>10</v>
      </c>
      <c r="C10" s="70" t="s">
        <v>128</v>
      </c>
      <c r="D10" s="71" t="s">
        <v>10</v>
      </c>
    </row>
    <row r="11" spans="1:7">
      <c r="B11" s="65"/>
      <c r="C11" s="70" t="s">
        <v>129</v>
      </c>
      <c r="D11" s="71" t="s">
        <v>130</v>
      </c>
    </row>
    <row r="12" spans="1:7">
      <c r="B12" s="65"/>
      <c r="C12" s="70"/>
      <c r="D12" s="71"/>
    </row>
    <row r="13" spans="1:7">
      <c r="B13" s="65"/>
      <c r="C13" s="70"/>
      <c r="D13" s="71"/>
    </row>
    <row r="14" spans="1:7">
      <c r="B14" s="65"/>
      <c r="C14" s="70" t="s">
        <v>12</v>
      </c>
      <c r="D14" s="71" t="s">
        <v>12</v>
      </c>
    </row>
    <row r="15" spans="1:7">
      <c r="B15" s="65" t="s">
        <v>47</v>
      </c>
      <c r="C15" s="70" t="s">
        <v>128</v>
      </c>
      <c r="D15" s="71" t="s">
        <v>131</v>
      </c>
    </row>
    <row r="16" spans="1:7">
      <c r="B16" s="65"/>
      <c r="C16" s="70" t="s">
        <v>129</v>
      </c>
      <c r="D16" s="71" t="s">
        <v>132</v>
      </c>
    </row>
    <row r="17" spans="2:4">
      <c r="B17" s="65"/>
      <c r="C17" s="70"/>
      <c r="D17" s="71"/>
    </row>
    <row r="18" spans="2:4">
      <c r="B18" s="65" t="s">
        <v>133</v>
      </c>
      <c r="C18" s="70"/>
      <c r="D18" s="71" t="s">
        <v>134</v>
      </c>
    </row>
    <row r="19" spans="2:4">
      <c r="B19" s="65"/>
      <c r="C19" s="70"/>
      <c r="D19" s="71"/>
    </row>
    <row r="20" spans="2:4">
      <c r="B20" s="65" t="s">
        <v>11</v>
      </c>
      <c r="C20" s="70" t="s">
        <v>128</v>
      </c>
      <c r="D20" s="71" t="s">
        <v>11</v>
      </c>
    </row>
    <row r="21" spans="2:4">
      <c r="B21" s="65"/>
      <c r="C21" s="70" t="s">
        <v>129</v>
      </c>
      <c r="D21" s="71" t="s">
        <v>135</v>
      </c>
    </row>
    <row r="22" spans="2:4">
      <c r="B22" s="65"/>
      <c r="C22" s="70"/>
      <c r="D22" s="71"/>
    </row>
    <row r="23" spans="2:4">
      <c r="B23" s="65" t="s">
        <v>84</v>
      </c>
      <c r="C23" s="70" t="s">
        <v>136</v>
      </c>
      <c r="D23" s="71" t="s">
        <v>137</v>
      </c>
    </row>
    <row r="24" spans="2:4">
      <c r="B24" s="65"/>
      <c r="C24" s="70" t="s">
        <v>138</v>
      </c>
      <c r="D24" s="71" t="s">
        <v>139</v>
      </c>
    </row>
    <row r="25" spans="2:4">
      <c r="B25" s="65"/>
      <c r="C25" s="70" t="s">
        <v>140</v>
      </c>
      <c r="D25" s="71" t="s">
        <v>141</v>
      </c>
    </row>
    <row r="26" spans="2:4">
      <c r="B26" s="65"/>
      <c r="C26" s="70" t="s">
        <v>142</v>
      </c>
      <c r="D26" s="71" t="s">
        <v>143</v>
      </c>
    </row>
    <row r="27" spans="2:4">
      <c r="B27" s="65"/>
      <c r="C27" s="70" t="s">
        <v>144</v>
      </c>
      <c r="D27" s="71" t="s">
        <v>145</v>
      </c>
    </row>
    <row r="28" spans="2:4" ht="13.8" thickBot="1">
      <c r="B28" s="61"/>
      <c r="C28" s="72"/>
      <c r="D28" s="74"/>
    </row>
  </sheetData>
  <phoneticPr fontId="2" type="noConversion"/>
  <hyperlinks>
    <hyperlink ref="A1" location="'About og Fane-Link'!A1" display="Til Forsiden" xr:uid="{00000000-0004-0000-0900-000000000000}"/>
  </hyperlinks>
  <printOptions gridLines="1"/>
  <pageMargins left="0.75" right="0.75" top="1" bottom="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8"/>
  <sheetViews>
    <sheetView workbookViewId="0"/>
  </sheetViews>
  <sheetFormatPr defaultRowHeight="13.2"/>
  <cols>
    <col min="2" max="2" width="16.44140625" customWidth="1"/>
    <col min="3" max="3" width="14.6640625" customWidth="1"/>
    <col min="4" max="4" width="10.6640625" customWidth="1"/>
    <col min="5" max="5" width="17.33203125" customWidth="1"/>
  </cols>
  <sheetData>
    <row r="1" spans="1:5">
      <c r="A1" s="44" t="s">
        <v>2527</v>
      </c>
    </row>
    <row r="2" spans="1:5" ht="13.8" thickBot="1"/>
    <row r="3" spans="1:5" ht="34.200000000000003" thickBot="1">
      <c r="B3" s="641" t="s">
        <v>1881</v>
      </c>
      <c r="C3" s="642" t="s">
        <v>504</v>
      </c>
      <c r="D3" s="642" t="s">
        <v>520</v>
      </c>
      <c r="E3" s="643" t="s">
        <v>1882</v>
      </c>
    </row>
    <row r="4" spans="1:5" ht="16.2" thickTop="1">
      <c r="B4" s="644" t="s">
        <v>506</v>
      </c>
      <c r="C4" s="645">
        <v>0.04</v>
      </c>
      <c r="D4" s="645"/>
      <c r="E4" s="646"/>
    </row>
    <row r="5" spans="1:5" ht="15.6">
      <c r="B5" s="644" t="s">
        <v>1883</v>
      </c>
      <c r="C5" s="645">
        <v>7.0000000000000001E-3</v>
      </c>
      <c r="D5" s="645"/>
      <c r="E5" s="646"/>
    </row>
    <row r="6" spans="1:5" ht="15.6">
      <c r="B6" s="644" t="s">
        <v>1884</v>
      </c>
      <c r="C6" s="645">
        <v>0.4</v>
      </c>
      <c r="D6" s="645"/>
      <c r="E6" s="646"/>
    </row>
    <row r="7" spans="1:5" ht="15.6">
      <c r="B7" s="644"/>
      <c r="C7" s="645"/>
      <c r="D7" s="645"/>
      <c r="E7" s="646"/>
    </row>
    <row r="8" spans="1:5" ht="16.2" thickBot="1">
      <c r="B8" s="982" t="s">
        <v>1885</v>
      </c>
      <c r="C8" s="983"/>
      <c r="D8" s="983"/>
      <c r="E8" s="984"/>
    </row>
  </sheetData>
  <mergeCells count="1">
    <mergeCell ref="B8:E8"/>
  </mergeCells>
  <hyperlinks>
    <hyperlink ref="A1" location="'About og Fane-Link'!A1" display="Til Forsiden"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8"/>
  <sheetViews>
    <sheetView workbookViewId="0"/>
  </sheetViews>
  <sheetFormatPr defaultRowHeight="13.2"/>
  <cols>
    <col min="2" max="2" width="15.6640625" customWidth="1"/>
    <col min="3" max="3" width="13" customWidth="1"/>
    <col min="4" max="4" width="12.5546875" customWidth="1"/>
    <col min="5" max="5" width="14.33203125" customWidth="1"/>
  </cols>
  <sheetData>
    <row r="1" spans="1:5">
      <c r="A1" s="44" t="s">
        <v>2527</v>
      </c>
    </row>
    <row r="2" spans="1:5" ht="13.8" thickBot="1"/>
    <row r="3" spans="1:5" ht="49.8" thickBot="1">
      <c r="B3" s="641" t="s">
        <v>405</v>
      </c>
      <c r="C3" s="642" t="s">
        <v>504</v>
      </c>
      <c r="D3" s="642" t="s">
        <v>520</v>
      </c>
      <c r="E3" s="643" t="s">
        <v>1886</v>
      </c>
    </row>
    <row r="4" spans="1:5" ht="16.2" thickTop="1">
      <c r="B4" s="644" t="s">
        <v>509</v>
      </c>
      <c r="C4" s="645">
        <v>0.7</v>
      </c>
      <c r="D4" s="645"/>
      <c r="E4" s="646"/>
    </row>
    <row r="5" spans="1:5" ht="15.6">
      <c r="B5" s="644" t="s">
        <v>1887</v>
      </c>
      <c r="C5" s="645">
        <v>1</v>
      </c>
      <c r="D5" s="645"/>
      <c r="E5" s="646"/>
    </row>
    <row r="6" spans="1:5" ht="15.6">
      <c r="B6" s="644"/>
      <c r="C6" s="645"/>
      <c r="D6" s="645"/>
      <c r="E6" s="646"/>
    </row>
    <row r="7" spans="1:5" ht="15.6">
      <c r="B7" s="644"/>
      <c r="C7" s="645"/>
      <c r="D7" s="645"/>
      <c r="E7" s="646"/>
    </row>
    <row r="8" spans="1:5" ht="16.2" thickBot="1">
      <c r="B8" s="982" t="s">
        <v>1885</v>
      </c>
      <c r="C8" s="983"/>
      <c r="D8" s="983"/>
      <c r="E8" s="984"/>
    </row>
  </sheetData>
  <mergeCells count="1">
    <mergeCell ref="B8:E8"/>
  </mergeCells>
  <hyperlinks>
    <hyperlink ref="A1" location="'About og Fane-Link'!A1" display="Til Forsiden"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
  <sheetViews>
    <sheetView workbookViewId="0"/>
  </sheetViews>
  <sheetFormatPr defaultRowHeight="13.2"/>
  <cols>
    <col min="2" max="2" width="19.109375" customWidth="1"/>
    <col min="3" max="3" width="13.88671875" customWidth="1"/>
    <col min="4" max="4" width="12.33203125" customWidth="1"/>
    <col min="5" max="5" width="11.44140625" customWidth="1"/>
  </cols>
  <sheetData>
    <row r="1" spans="1:5">
      <c r="A1" s="44" t="s">
        <v>2527</v>
      </c>
    </row>
    <row r="2" spans="1:5" ht="13.8" thickBot="1"/>
    <row r="3" spans="1:5" ht="41.4" thickBot="1">
      <c r="B3" s="641" t="s">
        <v>1888</v>
      </c>
      <c r="C3" s="642" t="s">
        <v>504</v>
      </c>
      <c r="D3" s="642" t="s">
        <v>520</v>
      </c>
      <c r="E3" s="667" t="s">
        <v>1889</v>
      </c>
    </row>
    <row r="4" spans="1:5" ht="31.8" thickTop="1">
      <c r="B4" s="644" t="s">
        <v>512</v>
      </c>
      <c r="C4" s="645">
        <v>0.3</v>
      </c>
      <c r="D4" s="645"/>
      <c r="E4" s="646"/>
    </row>
    <row r="5" spans="1:5" ht="15.6">
      <c r="B5" s="644" t="s">
        <v>513</v>
      </c>
      <c r="C5" s="645">
        <v>1</v>
      </c>
      <c r="D5" s="645"/>
      <c r="E5" s="646"/>
    </row>
    <row r="6" spans="1:5" ht="15.6">
      <c r="B6" s="644" t="s">
        <v>1890</v>
      </c>
      <c r="C6" s="645">
        <v>1</v>
      </c>
      <c r="D6" s="645"/>
      <c r="E6" s="646"/>
    </row>
    <row r="7" spans="1:5" ht="15.6">
      <c r="B7" s="644"/>
      <c r="C7" s="645"/>
      <c r="D7" s="645"/>
      <c r="E7" s="646"/>
    </row>
    <row r="8" spans="1:5" ht="16.2" thickBot="1">
      <c r="B8" s="982" t="s">
        <v>1885</v>
      </c>
      <c r="C8" s="983"/>
      <c r="D8" s="983"/>
      <c r="E8" s="984"/>
    </row>
  </sheetData>
  <mergeCells count="1">
    <mergeCell ref="B8:E8"/>
  </mergeCells>
  <hyperlinks>
    <hyperlink ref="A1" location="'About og Fane-Link'!A1" display="Til Forsiden"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3.2"/>
  <sheetData>
    <row r="1" spans="1:1">
      <c r="A1" s="44" t="s">
        <v>2527</v>
      </c>
    </row>
  </sheetData>
  <hyperlinks>
    <hyperlink ref="A1" location="'About og Fane-Link'!A1" display="Til Forsiden"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3.2"/>
  <sheetData>
    <row r="1" spans="1:1">
      <c r="A1" s="44" t="s">
        <v>2527</v>
      </c>
    </row>
  </sheetData>
  <hyperlinks>
    <hyperlink ref="A1" location="'About og Fane-Link'!A1" display="Til Forsiden"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3.2"/>
  <sheetData>
    <row r="1" spans="1:1">
      <c r="A1" s="44" t="s">
        <v>2527</v>
      </c>
    </row>
  </sheetData>
  <hyperlinks>
    <hyperlink ref="A1" location="'About og Fane-Link'!A1" display="Til Forsiden"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1"/>
  <sheetViews>
    <sheetView topLeftCell="D25" workbookViewId="0">
      <selection activeCell="N38" sqref="N38"/>
    </sheetView>
  </sheetViews>
  <sheetFormatPr defaultRowHeight="13.2"/>
  <cols>
    <col min="2" max="2" width="27.109375" customWidth="1"/>
    <col min="3" max="3" width="8.6640625" bestFit="1" customWidth="1"/>
    <col min="4" max="4" width="16.88671875" customWidth="1"/>
    <col min="5" max="5" width="29.6640625" customWidth="1"/>
    <col min="6" max="6" width="26.109375" customWidth="1"/>
  </cols>
  <sheetData>
    <row r="1" spans="1:18" ht="13.8" thickBot="1">
      <c r="A1" s="44" t="s">
        <v>2527</v>
      </c>
    </row>
    <row r="2" spans="1:18" ht="31.8" thickBot="1">
      <c r="B2" s="49" t="s">
        <v>733</v>
      </c>
      <c r="C2" s="48" t="s">
        <v>520</v>
      </c>
      <c r="D2" s="48" t="s">
        <v>640</v>
      </c>
      <c r="E2" s="48" t="s">
        <v>641</v>
      </c>
    </row>
    <row r="3" spans="1:18" ht="30.75" customHeight="1" thickBot="1">
      <c r="B3" s="985" t="s">
        <v>642</v>
      </c>
      <c r="C3" s="985" t="s">
        <v>643</v>
      </c>
      <c r="D3" s="29">
        <v>3000</v>
      </c>
      <c r="E3" s="987" t="s">
        <v>776</v>
      </c>
      <c r="F3" t="s">
        <v>705</v>
      </c>
    </row>
    <row r="4" spans="1:18" ht="16.2" thickBot="1">
      <c r="B4" s="986"/>
      <c r="C4" s="986"/>
      <c r="D4" s="29" t="s">
        <v>644</v>
      </c>
      <c r="E4" s="986"/>
      <c r="N4" s="883" t="s">
        <v>2584</v>
      </c>
      <c r="O4" s="882"/>
    </row>
    <row r="5" spans="1:18" ht="16.2" thickBot="1">
      <c r="B5" s="40" t="s">
        <v>645</v>
      </c>
      <c r="C5" s="29" t="s">
        <v>646</v>
      </c>
      <c r="D5" s="29">
        <v>66000</v>
      </c>
      <c r="E5" s="45" t="s">
        <v>777</v>
      </c>
      <c r="F5" s="44" t="s">
        <v>706</v>
      </c>
      <c r="N5" s="882"/>
      <c r="O5" s="882"/>
    </row>
    <row r="6" spans="1:18" ht="31.8" thickBot="1">
      <c r="B6" s="40" t="s">
        <v>647</v>
      </c>
      <c r="C6" s="29" t="s">
        <v>643</v>
      </c>
      <c r="D6" s="29" t="s">
        <v>648</v>
      </c>
      <c r="E6" s="29"/>
      <c r="N6" s="897" t="s">
        <v>2552</v>
      </c>
      <c r="O6" s="898" t="s">
        <v>2553</v>
      </c>
      <c r="P6" s="899" t="s">
        <v>2554</v>
      </c>
      <c r="Q6" s="899" t="s">
        <v>2555</v>
      </c>
      <c r="R6" s="900" t="s">
        <v>520</v>
      </c>
    </row>
    <row r="7" spans="1:18" ht="16.2" thickBot="1">
      <c r="B7" s="40" t="s">
        <v>649</v>
      </c>
      <c r="C7" s="29" t="s">
        <v>643</v>
      </c>
      <c r="D7" s="29" t="s">
        <v>650</v>
      </c>
      <c r="E7" s="29" t="s">
        <v>651</v>
      </c>
      <c r="N7" s="898"/>
      <c r="O7" s="897" t="s">
        <v>485</v>
      </c>
      <c r="P7" s="898" t="s">
        <v>2556</v>
      </c>
      <c r="Q7" s="898" t="s">
        <v>2557</v>
      </c>
      <c r="R7" s="900" t="s">
        <v>2558</v>
      </c>
    </row>
    <row r="8" spans="1:18" ht="51.6" thickBot="1">
      <c r="B8" s="40" t="s">
        <v>652</v>
      </c>
      <c r="C8" s="29" t="s">
        <v>643</v>
      </c>
      <c r="D8" s="29" t="s">
        <v>653</v>
      </c>
      <c r="E8" s="29"/>
      <c r="N8" s="901" t="s">
        <v>2559</v>
      </c>
      <c r="O8" s="902">
        <v>12.6</v>
      </c>
      <c r="P8" s="902">
        <v>57</v>
      </c>
      <c r="Q8" s="902">
        <v>23</v>
      </c>
      <c r="R8" s="903">
        <v>86771</v>
      </c>
    </row>
    <row r="9" spans="1:18" ht="41.4" thickBot="1">
      <c r="B9" s="40" t="s">
        <v>654</v>
      </c>
      <c r="C9" s="29" t="s">
        <v>643</v>
      </c>
      <c r="D9" s="29">
        <v>460</v>
      </c>
      <c r="E9" s="29"/>
      <c r="N9" s="901" t="s">
        <v>2560</v>
      </c>
      <c r="O9" s="902">
        <v>3.7</v>
      </c>
      <c r="P9" s="902">
        <v>17</v>
      </c>
      <c r="Q9" s="902">
        <v>7</v>
      </c>
      <c r="R9" s="903">
        <v>25165</v>
      </c>
    </row>
    <row r="10" spans="1:18" ht="41.4" thickBot="1">
      <c r="B10" s="40" t="s">
        <v>655</v>
      </c>
      <c r="C10" s="29" t="s">
        <v>656</v>
      </c>
      <c r="D10" s="29" t="s">
        <v>657</v>
      </c>
      <c r="E10" s="29"/>
      <c r="N10" s="901" t="s">
        <v>2561</v>
      </c>
      <c r="O10" s="902">
        <v>16.8</v>
      </c>
      <c r="P10" s="902">
        <v>76</v>
      </c>
      <c r="Q10" s="902">
        <v>31</v>
      </c>
      <c r="R10" s="903">
        <v>115203</v>
      </c>
    </row>
    <row r="11" spans="1:18" ht="51.6" thickBot="1">
      <c r="B11" s="40" t="s">
        <v>658</v>
      </c>
      <c r="C11" s="29" t="s">
        <v>659</v>
      </c>
      <c r="D11" s="29" t="s">
        <v>657</v>
      </c>
      <c r="E11" s="29"/>
      <c r="N11" s="901" t="s">
        <v>2562</v>
      </c>
      <c r="O11" s="902">
        <v>3.4</v>
      </c>
      <c r="P11" s="902">
        <v>16</v>
      </c>
      <c r="Q11" s="902">
        <v>6</v>
      </c>
      <c r="R11" s="903">
        <v>23567</v>
      </c>
    </row>
    <row r="12" spans="1:18" ht="41.4" thickBot="1">
      <c r="B12" s="40" t="s">
        <v>660</v>
      </c>
      <c r="C12" s="29" t="s">
        <v>661</v>
      </c>
      <c r="D12" s="29" t="s">
        <v>657</v>
      </c>
      <c r="E12" s="29"/>
      <c r="N12" s="901" t="s">
        <v>2563</v>
      </c>
      <c r="O12" s="902">
        <v>3.2</v>
      </c>
      <c r="P12" s="902">
        <v>15</v>
      </c>
      <c r="Q12" s="902">
        <v>6</v>
      </c>
      <c r="R12" s="903">
        <v>22217</v>
      </c>
    </row>
    <row r="13" spans="1:18" ht="31.2" thickBot="1">
      <c r="B13" s="40" t="s">
        <v>662</v>
      </c>
      <c r="C13" s="29" t="s">
        <v>663</v>
      </c>
      <c r="D13" s="29" t="s">
        <v>657</v>
      </c>
      <c r="E13" s="29"/>
      <c r="N13" s="901" t="s">
        <v>2564</v>
      </c>
      <c r="O13" s="902">
        <v>1.6</v>
      </c>
      <c r="P13" s="902">
        <v>7</v>
      </c>
      <c r="Q13" s="902">
        <v>3</v>
      </c>
      <c r="R13" s="903">
        <v>11305</v>
      </c>
    </row>
    <row r="14" spans="1:18" ht="21" thickBot="1">
      <c r="B14" s="40" t="s">
        <v>664</v>
      </c>
      <c r="C14" s="29" t="s">
        <v>665</v>
      </c>
      <c r="D14" s="29">
        <v>288</v>
      </c>
      <c r="E14" s="29"/>
      <c r="N14" s="901" t="s">
        <v>2565</v>
      </c>
      <c r="O14" s="902">
        <v>5.4</v>
      </c>
      <c r="P14" s="902">
        <v>24</v>
      </c>
      <c r="Q14" s="902">
        <v>10</v>
      </c>
      <c r="R14" s="903">
        <v>36793</v>
      </c>
    </row>
    <row r="15" spans="1:18" ht="21" thickBot="1">
      <c r="B15" s="40" t="s">
        <v>666</v>
      </c>
      <c r="C15" s="29" t="s">
        <v>667</v>
      </c>
      <c r="D15" s="29">
        <v>280</v>
      </c>
      <c r="E15" s="29"/>
      <c r="N15" s="901" t="s">
        <v>2566</v>
      </c>
      <c r="O15" s="902">
        <v>5.4</v>
      </c>
      <c r="P15" s="902">
        <v>24</v>
      </c>
      <c r="Q15" s="902">
        <v>10</v>
      </c>
      <c r="R15" s="903">
        <v>36912</v>
      </c>
    </row>
    <row r="16" spans="1:18" ht="31.2" thickBot="1">
      <c r="B16" s="40" t="s">
        <v>668</v>
      </c>
      <c r="C16" s="29"/>
      <c r="D16" s="29">
        <v>240</v>
      </c>
      <c r="E16" s="29"/>
      <c r="N16" s="901" t="s">
        <v>2567</v>
      </c>
      <c r="O16" s="902">
        <v>7.9</v>
      </c>
      <c r="P16" s="902">
        <v>36</v>
      </c>
      <c r="Q16" s="902">
        <v>15</v>
      </c>
      <c r="R16" s="903">
        <v>54010</v>
      </c>
    </row>
    <row r="17" spans="2:18" ht="31.2" thickBot="1">
      <c r="B17" s="40" t="s">
        <v>669</v>
      </c>
      <c r="C17" s="29" t="s">
        <v>663</v>
      </c>
      <c r="D17" s="29">
        <v>220</v>
      </c>
      <c r="E17" s="29"/>
      <c r="N17" s="901" t="s">
        <v>2568</v>
      </c>
      <c r="O17" s="902">
        <v>2</v>
      </c>
      <c r="P17" s="902">
        <v>9</v>
      </c>
      <c r="Q17" s="902">
        <v>4</v>
      </c>
      <c r="R17" s="903">
        <v>14058</v>
      </c>
    </row>
    <row r="18" spans="2:18" ht="41.4" thickBot="1">
      <c r="B18" s="40" t="s">
        <v>670</v>
      </c>
      <c r="C18" s="29" t="s">
        <v>671</v>
      </c>
      <c r="D18" s="29">
        <v>140</v>
      </c>
      <c r="E18" s="29"/>
      <c r="N18" s="901" t="s">
        <v>2561</v>
      </c>
      <c r="O18" s="902">
        <v>16.8</v>
      </c>
      <c r="P18" s="902">
        <v>76</v>
      </c>
      <c r="Q18" s="902">
        <v>31</v>
      </c>
      <c r="R18" s="903">
        <v>115203</v>
      </c>
    </row>
    <row r="19" spans="2:18" ht="51.6" thickBot="1">
      <c r="B19" s="40" t="s">
        <v>672</v>
      </c>
      <c r="C19" s="29" t="s">
        <v>673</v>
      </c>
      <c r="D19" s="29">
        <v>128</v>
      </c>
      <c r="E19" s="29"/>
      <c r="N19" s="901" t="s">
        <v>2562</v>
      </c>
      <c r="O19" s="902">
        <v>3.4</v>
      </c>
      <c r="P19" s="902">
        <v>16</v>
      </c>
      <c r="Q19" s="902">
        <v>6</v>
      </c>
      <c r="R19" s="903">
        <v>23567</v>
      </c>
    </row>
    <row r="20" spans="2:18" ht="41.4" thickBot="1">
      <c r="B20" s="40" t="s">
        <v>674</v>
      </c>
      <c r="C20" s="29" t="s">
        <v>675</v>
      </c>
      <c r="D20" s="29">
        <v>116</v>
      </c>
      <c r="E20" s="29"/>
      <c r="N20" s="901" t="s">
        <v>2563</v>
      </c>
      <c r="O20" s="902">
        <v>3.2</v>
      </c>
      <c r="P20" s="902">
        <v>15</v>
      </c>
      <c r="Q20" s="902">
        <v>6</v>
      </c>
      <c r="R20" s="903">
        <v>22217</v>
      </c>
    </row>
    <row r="21" spans="2:18" ht="31.2" thickBot="1">
      <c r="B21" s="40" t="s">
        <v>676</v>
      </c>
      <c r="C21" s="29" t="s">
        <v>667</v>
      </c>
      <c r="D21" s="29">
        <v>112</v>
      </c>
      <c r="E21" s="29"/>
      <c r="N21" s="901" t="s">
        <v>2564</v>
      </c>
      <c r="O21" s="902">
        <v>1.6</v>
      </c>
      <c r="P21" s="902">
        <v>7</v>
      </c>
      <c r="Q21" s="902">
        <v>3</v>
      </c>
      <c r="R21" s="903">
        <v>11305</v>
      </c>
    </row>
    <row r="22" spans="2:18" ht="21" thickBot="1">
      <c r="B22" s="40" t="s">
        <v>677</v>
      </c>
      <c r="C22" s="29" t="s">
        <v>663</v>
      </c>
      <c r="D22" s="29">
        <v>100</v>
      </c>
      <c r="E22" s="29"/>
      <c r="N22" s="901" t="s">
        <v>2565</v>
      </c>
      <c r="O22" s="902">
        <v>5.4</v>
      </c>
      <c r="P22" s="902">
        <v>24</v>
      </c>
      <c r="Q22" s="902">
        <v>10</v>
      </c>
      <c r="R22" s="903">
        <v>36793</v>
      </c>
    </row>
    <row r="23" spans="2:18" ht="21" thickBot="1">
      <c r="B23" s="40" t="s">
        <v>678</v>
      </c>
      <c r="C23" s="29" t="s">
        <v>643</v>
      </c>
      <c r="D23" s="29" t="s">
        <v>679</v>
      </c>
      <c r="E23" s="29"/>
      <c r="N23" s="901" t="s">
        <v>2566</v>
      </c>
      <c r="O23" s="902">
        <v>5.4</v>
      </c>
      <c r="P23" s="902">
        <v>24</v>
      </c>
      <c r="Q23" s="902">
        <v>10</v>
      </c>
      <c r="R23" s="903">
        <v>36912</v>
      </c>
    </row>
    <row r="24" spans="2:18" ht="31.2" thickBot="1">
      <c r="B24" s="40" t="s">
        <v>680</v>
      </c>
      <c r="C24" s="29" t="s">
        <v>665</v>
      </c>
      <c r="D24" s="29" t="s">
        <v>679</v>
      </c>
      <c r="E24" s="29"/>
      <c r="N24" s="901" t="s">
        <v>2567</v>
      </c>
      <c r="O24" s="902">
        <v>7.9</v>
      </c>
      <c r="P24" s="902">
        <v>36</v>
      </c>
      <c r="Q24" s="902">
        <v>15</v>
      </c>
      <c r="R24" s="903">
        <v>54010</v>
      </c>
    </row>
    <row r="25" spans="2:18" ht="31.2" thickBot="1">
      <c r="B25" s="40" t="s">
        <v>681</v>
      </c>
      <c r="C25" s="29" t="s">
        <v>682</v>
      </c>
      <c r="D25" s="29" t="s">
        <v>683</v>
      </c>
      <c r="E25" s="29"/>
      <c r="N25" s="901" t="s">
        <v>2568</v>
      </c>
      <c r="O25" s="902">
        <v>2</v>
      </c>
      <c r="P25" s="902">
        <v>9</v>
      </c>
      <c r="Q25" s="902">
        <v>4</v>
      </c>
      <c r="R25" s="903">
        <v>14058</v>
      </c>
    </row>
    <row r="26" spans="2:18" ht="21" thickBot="1">
      <c r="B26" s="40" t="s">
        <v>684</v>
      </c>
      <c r="C26" s="29" t="s">
        <v>685</v>
      </c>
      <c r="D26" s="29" t="s">
        <v>686</v>
      </c>
      <c r="E26" s="29"/>
      <c r="N26" s="901" t="s">
        <v>2569</v>
      </c>
      <c r="O26" s="902">
        <v>1.6</v>
      </c>
      <c r="P26" s="902">
        <v>7</v>
      </c>
      <c r="Q26" s="902">
        <v>3</v>
      </c>
      <c r="R26" s="903">
        <v>11039</v>
      </c>
    </row>
    <row r="27" spans="2:18" ht="31.2" thickBot="1">
      <c r="B27" s="40" t="s">
        <v>687</v>
      </c>
      <c r="C27" s="29" t="s">
        <v>688</v>
      </c>
      <c r="D27" s="29" t="s">
        <v>686</v>
      </c>
      <c r="E27" s="29"/>
      <c r="N27" s="901" t="s">
        <v>2570</v>
      </c>
      <c r="O27" s="902">
        <v>6.2</v>
      </c>
      <c r="P27" s="902">
        <v>28</v>
      </c>
      <c r="Q27" s="902">
        <v>11</v>
      </c>
      <c r="R27" s="903">
        <v>42310</v>
      </c>
    </row>
    <row r="28" spans="2:18" ht="21" thickBot="1">
      <c r="B28" s="40" t="s">
        <v>689</v>
      </c>
      <c r="C28" s="29" t="s">
        <v>661</v>
      </c>
      <c r="D28" s="29" t="s">
        <v>690</v>
      </c>
      <c r="E28" s="29"/>
      <c r="N28" s="901" t="s">
        <v>2571</v>
      </c>
      <c r="O28" s="902">
        <v>6.9</v>
      </c>
      <c r="P28" s="902">
        <v>31</v>
      </c>
      <c r="Q28" s="902">
        <v>13</v>
      </c>
      <c r="R28" s="903">
        <v>47294</v>
      </c>
    </row>
    <row r="29" spans="2:18" ht="31.2" thickBot="1">
      <c r="B29" s="40" t="s">
        <v>691</v>
      </c>
      <c r="C29" s="29" t="s">
        <v>692</v>
      </c>
      <c r="D29" s="29" t="s">
        <v>690</v>
      </c>
      <c r="E29" s="29"/>
      <c r="N29" s="901" t="s">
        <v>2572</v>
      </c>
      <c r="O29" s="902">
        <v>0.8</v>
      </c>
      <c r="P29" s="902">
        <v>4</v>
      </c>
      <c r="Q29" s="902">
        <v>1</v>
      </c>
      <c r="R29" s="903">
        <v>5503</v>
      </c>
    </row>
    <row r="30" spans="2:18" ht="31.2" thickBot="1">
      <c r="B30" s="40" t="s">
        <v>693</v>
      </c>
      <c r="C30" s="29" t="s">
        <v>643</v>
      </c>
      <c r="D30" s="29">
        <v>76</v>
      </c>
      <c r="E30" s="29"/>
      <c r="N30" s="901" t="s">
        <v>2573</v>
      </c>
      <c r="O30" s="902">
        <v>6.6</v>
      </c>
      <c r="P30" s="902">
        <v>30</v>
      </c>
      <c r="Q30" s="902">
        <v>12</v>
      </c>
      <c r="R30" s="903">
        <v>45073</v>
      </c>
    </row>
    <row r="31" spans="2:18" ht="41.4" thickBot="1">
      <c r="B31" s="40" t="s">
        <v>694</v>
      </c>
      <c r="C31" s="29" t="s">
        <v>643</v>
      </c>
      <c r="D31" s="29">
        <v>44</v>
      </c>
      <c r="E31" s="29"/>
      <c r="N31" s="901" t="s">
        <v>2574</v>
      </c>
      <c r="O31" s="902">
        <v>0.2</v>
      </c>
      <c r="P31" s="902">
        <v>1</v>
      </c>
      <c r="Q31" s="902" t="s">
        <v>2575</v>
      </c>
      <c r="R31" s="903">
        <v>1249</v>
      </c>
    </row>
    <row r="32" spans="2:18" ht="31.2" thickBot="1">
      <c r="B32" s="40" t="s">
        <v>695</v>
      </c>
      <c r="C32" s="40" t="s">
        <v>643</v>
      </c>
      <c r="D32" s="40">
        <v>24</v>
      </c>
      <c r="E32" s="40"/>
      <c r="N32" s="901" t="s">
        <v>2576</v>
      </c>
      <c r="O32" s="902">
        <v>0.2</v>
      </c>
      <c r="P32" s="902">
        <v>1</v>
      </c>
      <c r="Q32" s="902" t="s">
        <v>2575</v>
      </c>
      <c r="R32" s="903">
        <v>1496</v>
      </c>
    </row>
    <row r="33" spans="1:18" ht="31.2" thickBot="1">
      <c r="B33" s="40" t="s">
        <v>700</v>
      </c>
      <c r="C33" s="40" t="s">
        <v>702</v>
      </c>
      <c r="D33" s="40" t="s">
        <v>701</v>
      </c>
      <c r="E33" s="40" t="s">
        <v>778</v>
      </c>
      <c r="F33" s="46"/>
      <c r="N33" s="901" t="s">
        <v>2577</v>
      </c>
      <c r="O33" s="902">
        <v>10.5</v>
      </c>
      <c r="P33" s="902">
        <v>48</v>
      </c>
      <c r="Q33" s="902">
        <v>19</v>
      </c>
      <c r="R33" s="903">
        <v>72088</v>
      </c>
    </row>
    <row r="34" spans="1:18" ht="31.2" thickBot="1">
      <c r="B34" s="40" t="s">
        <v>700</v>
      </c>
      <c r="C34" s="40" t="s">
        <v>702</v>
      </c>
      <c r="D34" s="40" t="s">
        <v>703</v>
      </c>
      <c r="E34" s="40" t="s">
        <v>704</v>
      </c>
      <c r="N34" s="901" t="s">
        <v>2578</v>
      </c>
      <c r="O34" s="902">
        <v>2.6</v>
      </c>
      <c r="P34" s="902">
        <v>12</v>
      </c>
      <c r="Q34" s="902">
        <v>5</v>
      </c>
      <c r="R34" s="903">
        <v>18165</v>
      </c>
    </row>
    <row r="35" spans="1:18" ht="16.2" thickBot="1">
      <c r="B35" s="40" t="s">
        <v>708</v>
      </c>
      <c r="C35" s="40" t="s">
        <v>709</v>
      </c>
      <c r="D35" s="40" t="s">
        <v>710</v>
      </c>
      <c r="E35" s="40"/>
      <c r="N35" s="901" t="s">
        <v>2579</v>
      </c>
      <c r="O35" s="902">
        <v>2.4</v>
      </c>
      <c r="P35" s="902">
        <v>11</v>
      </c>
      <c r="Q35" s="902">
        <v>4</v>
      </c>
      <c r="R35" s="903">
        <v>16328</v>
      </c>
    </row>
    <row r="36" spans="1:18" ht="31.8" thickBot="1">
      <c r="B36" s="40" t="s">
        <v>711</v>
      </c>
      <c r="C36" s="40" t="s">
        <v>709</v>
      </c>
      <c r="D36" s="40" t="s">
        <v>712</v>
      </c>
      <c r="E36" s="40"/>
      <c r="N36" s="901" t="s">
        <v>1974</v>
      </c>
      <c r="O36" s="902">
        <v>100</v>
      </c>
      <c r="P36" s="902">
        <v>453</v>
      </c>
      <c r="Q36" s="902">
        <v>184</v>
      </c>
      <c r="R36" s="903">
        <v>686545</v>
      </c>
    </row>
    <row r="37" spans="1:18" ht="16.2" thickBot="1">
      <c r="B37" s="40" t="s">
        <v>713</v>
      </c>
      <c r="C37" s="40" t="s">
        <v>709</v>
      </c>
      <c r="D37" s="40" t="s">
        <v>714</v>
      </c>
      <c r="E37" s="40"/>
      <c r="N37" s="906"/>
      <c r="O37" s="907"/>
      <c r="P37" s="907"/>
      <c r="Q37" s="907"/>
      <c r="R37" s="908"/>
    </row>
    <row r="38" spans="1:18" ht="21" thickBot="1">
      <c r="B38" s="40" t="s">
        <v>715</v>
      </c>
      <c r="C38" s="40" t="s">
        <v>709</v>
      </c>
      <c r="D38" s="40" t="s">
        <v>716</v>
      </c>
      <c r="E38" s="40"/>
      <c r="N38" s="906" t="s">
        <v>2585</v>
      </c>
    </row>
    <row r="39" spans="1:18" ht="16.2" thickBot="1">
      <c r="B39" s="40"/>
      <c r="C39" s="40"/>
      <c r="D39" s="40"/>
      <c r="E39" s="40"/>
      <c r="N39" s="44" t="s">
        <v>2583</v>
      </c>
      <c r="O39" s="882"/>
    </row>
    <row r="40" spans="1:18" ht="16.2" thickBot="1">
      <c r="B40" s="40"/>
      <c r="C40" s="40"/>
      <c r="D40" s="40"/>
      <c r="E40" s="40"/>
      <c r="N40" s="882"/>
      <c r="O40" s="882"/>
    </row>
    <row r="41" spans="1:18" ht="16.2" thickBot="1">
      <c r="B41" s="40"/>
      <c r="C41" s="40"/>
      <c r="D41" s="40"/>
      <c r="E41" s="40"/>
      <c r="N41" s="882"/>
      <c r="O41" s="882"/>
    </row>
    <row r="42" spans="1:18" ht="16.2" thickBot="1">
      <c r="B42" s="40"/>
      <c r="C42" s="40"/>
      <c r="D42" s="40"/>
      <c r="E42" s="40"/>
    </row>
    <row r="43" spans="1:18" ht="46.8">
      <c r="A43" t="s">
        <v>319</v>
      </c>
      <c r="B43" s="47" t="s">
        <v>707</v>
      </c>
    </row>
    <row r="46" spans="1:18" ht="15.6">
      <c r="B46" s="5" t="s">
        <v>696</v>
      </c>
    </row>
    <row r="47" spans="1:18">
      <c r="B47" s="44" t="s">
        <v>697</v>
      </c>
    </row>
    <row r="48" spans="1:18" ht="15.6">
      <c r="B48" s="5"/>
    </row>
    <row r="49" spans="2:2">
      <c r="B49" s="44" t="s">
        <v>698</v>
      </c>
    </row>
    <row r="50" spans="2:2" ht="15.6">
      <c r="B50" s="5"/>
    </row>
    <row r="51" spans="2:2">
      <c r="B51" s="44" t="s">
        <v>699</v>
      </c>
    </row>
    <row r="52" spans="2:2" ht="15.6">
      <c r="B52" s="5"/>
    </row>
    <row r="67" spans="2:8">
      <c r="H67" t="s">
        <v>2551</v>
      </c>
    </row>
    <row r="79" spans="2:8">
      <c r="B79" s="654" t="s">
        <v>1996</v>
      </c>
    </row>
    <row r="81" spans="2:2">
      <c r="B81" s="654"/>
    </row>
  </sheetData>
  <mergeCells count="3">
    <mergeCell ref="B3:B4"/>
    <mergeCell ref="C3:C4"/>
    <mergeCell ref="E3:E4"/>
  </mergeCells>
  <phoneticPr fontId="2" type="noConversion"/>
  <hyperlinks>
    <hyperlink ref="D3" location="_ftn2" display="_ftn2" xr:uid="{00000000-0004-0000-1000-000000000000}"/>
    <hyperlink ref="B47" r:id="rId1" xr:uid="{00000000-0004-0000-1000-000001000000}"/>
    <hyperlink ref="B49" r:id="rId2" display="http://www.lcafood.dk/" xr:uid="{00000000-0004-0000-1000-000002000000}"/>
    <hyperlink ref="B51" r:id="rId3" xr:uid="{00000000-0004-0000-1000-000003000000}"/>
    <hyperlink ref="F5" r:id="rId4" xr:uid="{00000000-0004-0000-1000-000004000000}"/>
    <hyperlink ref="A1" location="'About og Fane-Link'!A1" display="Til Forsiden" xr:uid="{00000000-0004-0000-1000-000005000000}"/>
    <hyperlink ref="N39" r:id="rId5" xr:uid="{00000000-0004-0000-1000-000006000000}"/>
  </hyperlinks>
  <pageMargins left="0.75" right="0.75" top="1" bottom="1" header="0" footer="0"/>
  <headerFooter alignWithMargins="0"/>
  <drawing r:id="rId6"/>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55"/>
  </sheetPr>
  <dimension ref="A1:U89"/>
  <sheetViews>
    <sheetView zoomScaleNormal="100" workbookViewId="0">
      <pane ySplit="3" topLeftCell="A4" activePane="bottomLeft" state="frozen"/>
      <selection pane="bottomLeft"/>
    </sheetView>
  </sheetViews>
  <sheetFormatPr defaultRowHeight="13.2"/>
  <cols>
    <col min="2" max="2" width="29.33203125" bestFit="1" customWidth="1"/>
    <col min="4" max="4" width="15.33203125" bestFit="1" customWidth="1"/>
    <col min="8" max="8" width="21.5546875" customWidth="1"/>
    <col min="10" max="10" width="12" bestFit="1" customWidth="1"/>
    <col min="12" max="12" width="15.5546875" customWidth="1"/>
    <col min="13" max="13" width="20.44140625" customWidth="1"/>
    <col min="14" max="14" width="13.6640625" customWidth="1"/>
    <col min="15" max="15" width="24.5546875" customWidth="1"/>
    <col min="16" max="16" width="23" customWidth="1"/>
    <col min="17" max="17" width="19.5546875" customWidth="1"/>
    <col min="18" max="18" width="18.109375" customWidth="1"/>
    <col min="20" max="20" width="30" customWidth="1"/>
    <col min="21" max="21" width="23.6640625" customWidth="1"/>
  </cols>
  <sheetData>
    <row r="1" spans="1:21">
      <c r="A1" s="44" t="s">
        <v>2527</v>
      </c>
    </row>
    <row r="2" spans="1:21" ht="13.8" thickBot="1">
      <c r="B2" t="s">
        <v>617</v>
      </c>
    </row>
    <row r="3" spans="1:21" ht="13.8" thickBot="1">
      <c r="B3" s="109" t="s">
        <v>280</v>
      </c>
      <c r="C3" s="110"/>
      <c r="D3" s="110" t="s">
        <v>282</v>
      </c>
      <c r="E3" s="110" t="s">
        <v>6</v>
      </c>
      <c r="F3" s="110"/>
      <c r="G3" s="110"/>
      <c r="H3" s="110" t="s">
        <v>284</v>
      </c>
      <c r="I3" s="110" t="s">
        <v>312</v>
      </c>
      <c r="J3" s="111" t="s">
        <v>6</v>
      </c>
    </row>
    <row r="4" spans="1:21">
      <c r="B4" s="107"/>
      <c r="C4" s="100"/>
      <c r="D4" s="100"/>
      <c r="E4" s="100"/>
      <c r="F4" s="100"/>
      <c r="G4" s="100"/>
      <c r="H4" s="100"/>
      <c r="I4" s="100"/>
      <c r="J4" s="108"/>
    </row>
    <row r="5" spans="1:21" ht="15.6">
      <c r="A5" s="4" t="s">
        <v>292</v>
      </c>
      <c r="B5" s="75" t="s">
        <v>281</v>
      </c>
      <c r="C5" s="70"/>
      <c r="D5" s="70">
        <v>1.26</v>
      </c>
      <c r="E5" s="70" t="s">
        <v>283</v>
      </c>
      <c r="F5" s="70">
        <v>4.0000000000000003E-5</v>
      </c>
      <c r="G5" s="70" t="s">
        <v>310</v>
      </c>
      <c r="H5" s="70" t="s">
        <v>285</v>
      </c>
      <c r="I5" s="70"/>
      <c r="J5" s="71"/>
      <c r="L5" s="23" t="s">
        <v>1874</v>
      </c>
    </row>
    <row r="6" spans="1:21" ht="13.8" thickBot="1">
      <c r="B6" s="75" t="s">
        <v>286</v>
      </c>
      <c r="C6" s="70"/>
      <c r="D6" s="70">
        <v>8</v>
      </c>
      <c r="E6" s="70" t="s">
        <v>283</v>
      </c>
      <c r="F6" s="70"/>
      <c r="G6" s="70"/>
      <c r="H6" s="70" t="s">
        <v>287</v>
      </c>
      <c r="I6" s="70"/>
      <c r="J6" s="71"/>
    </row>
    <row r="7" spans="1:21" ht="21" customHeight="1" thickBot="1">
      <c r="B7" s="75" t="s">
        <v>288</v>
      </c>
      <c r="C7" s="70"/>
      <c r="D7" s="70">
        <v>7.36</v>
      </c>
      <c r="E7" s="70" t="s">
        <v>283</v>
      </c>
      <c r="F7" s="70"/>
      <c r="G7" s="70"/>
      <c r="H7" s="70" t="s">
        <v>289</v>
      </c>
      <c r="I7" s="70"/>
      <c r="J7" s="71"/>
      <c r="L7" s="998"/>
      <c r="M7" s="988"/>
      <c r="N7" s="988" t="s">
        <v>1861</v>
      </c>
      <c r="O7" s="650" t="s">
        <v>1862</v>
      </c>
      <c r="P7" s="988" t="s">
        <v>1864</v>
      </c>
      <c r="Q7" s="988" t="s">
        <v>1865</v>
      </c>
      <c r="R7" s="990" t="s">
        <v>1866</v>
      </c>
      <c r="T7" s="701" t="s">
        <v>1980</v>
      </c>
    </row>
    <row r="8" spans="1:21" ht="21" customHeight="1" thickBot="1">
      <c r="B8" s="75" t="s">
        <v>290</v>
      </c>
      <c r="C8" s="70"/>
      <c r="D8" s="70">
        <v>34.9</v>
      </c>
      <c r="E8" s="70" t="s">
        <v>283</v>
      </c>
      <c r="F8" s="70"/>
      <c r="G8" s="70"/>
      <c r="H8" s="70" t="s">
        <v>291</v>
      </c>
      <c r="I8" s="70"/>
      <c r="J8" s="71"/>
      <c r="L8" s="999"/>
      <c r="M8" s="989"/>
      <c r="N8" s="989"/>
      <c r="O8" s="651" t="s">
        <v>1863</v>
      </c>
      <c r="P8" s="989"/>
      <c r="Q8" s="989"/>
      <c r="R8" s="991"/>
      <c r="T8" s="706" t="s">
        <v>1981</v>
      </c>
      <c r="U8" s="707">
        <v>2353</v>
      </c>
    </row>
    <row r="9" spans="1:21" ht="16.8" thickTop="1" thickBot="1">
      <c r="B9" s="75"/>
      <c r="C9" s="70"/>
      <c r="D9" s="70"/>
      <c r="E9" s="70"/>
      <c r="F9" s="70"/>
      <c r="G9" s="70"/>
      <c r="H9" s="70"/>
      <c r="I9" s="70"/>
      <c r="J9" s="71"/>
      <c r="L9" s="644" t="s">
        <v>159</v>
      </c>
      <c r="M9" s="645" t="s">
        <v>1867</v>
      </c>
      <c r="N9" s="645" t="s">
        <v>1868</v>
      </c>
      <c r="O9" s="645"/>
      <c r="P9" s="645"/>
      <c r="Q9" s="645"/>
      <c r="R9" s="646"/>
      <c r="T9" s="703" t="s">
        <v>1982</v>
      </c>
      <c r="U9" s="702">
        <v>63715</v>
      </c>
    </row>
    <row r="10" spans="1:21" ht="16.2" thickBot="1">
      <c r="B10" s="75" t="s">
        <v>315</v>
      </c>
      <c r="C10" s="70"/>
      <c r="D10" s="70"/>
      <c r="E10" s="70"/>
      <c r="F10" s="70"/>
      <c r="G10" s="70"/>
      <c r="H10" s="70"/>
      <c r="I10" s="70">
        <v>5.9200000000000003E-2</v>
      </c>
      <c r="J10" s="71" t="s">
        <v>174</v>
      </c>
      <c r="L10" s="644" t="s">
        <v>180</v>
      </c>
      <c r="M10" s="645" t="s">
        <v>430</v>
      </c>
      <c r="N10" s="645"/>
      <c r="O10" s="645"/>
      <c r="P10" s="645"/>
      <c r="Q10" s="645"/>
      <c r="R10" s="646" t="s">
        <v>1869</v>
      </c>
      <c r="T10" s="703" t="s">
        <v>1983</v>
      </c>
      <c r="U10" s="702">
        <v>52254</v>
      </c>
    </row>
    <row r="11" spans="1:21" ht="16.2" thickBot="1">
      <c r="B11" s="75"/>
      <c r="C11" s="70"/>
      <c r="D11" s="70"/>
      <c r="E11" s="70"/>
      <c r="F11" s="70"/>
      <c r="G11" s="70"/>
      <c r="H11" s="70"/>
      <c r="I11" s="70"/>
      <c r="J11" s="71"/>
      <c r="L11" s="647" t="s">
        <v>443</v>
      </c>
      <c r="M11" s="648" t="s">
        <v>162</v>
      </c>
      <c r="N11" s="648"/>
      <c r="O11" s="648" t="s">
        <v>1870</v>
      </c>
      <c r="P11" s="648" t="s">
        <v>1871</v>
      </c>
      <c r="Q11" s="648" t="s">
        <v>1872</v>
      </c>
      <c r="R11" s="649"/>
      <c r="T11" s="703" t="s">
        <v>1984</v>
      </c>
      <c r="U11" s="702">
        <v>3135</v>
      </c>
    </row>
    <row r="12" spans="1:21" ht="16.2" thickBot="1">
      <c r="A12" s="4" t="s">
        <v>293</v>
      </c>
      <c r="B12" s="75" t="s">
        <v>294</v>
      </c>
      <c r="C12" s="70"/>
      <c r="D12" s="93">
        <v>64400</v>
      </c>
      <c r="E12" s="70" t="s">
        <v>295</v>
      </c>
      <c r="F12" s="70"/>
      <c r="G12" s="70"/>
      <c r="H12" s="70" t="s">
        <v>296</v>
      </c>
      <c r="I12" s="70"/>
      <c r="J12" s="71"/>
      <c r="L12" s="653" t="s">
        <v>1873</v>
      </c>
      <c r="T12" s="703" t="s">
        <v>1985</v>
      </c>
      <c r="U12" s="649">
        <v>49119</v>
      </c>
    </row>
    <row r="13" spans="1:21" ht="16.2" thickBot="1">
      <c r="B13" s="75" t="s">
        <v>297</v>
      </c>
      <c r="C13" s="70"/>
      <c r="D13" s="70">
        <v>250</v>
      </c>
      <c r="E13" s="70" t="s">
        <v>298</v>
      </c>
      <c r="F13" s="70"/>
      <c r="G13" s="70"/>
      <c r="H13" s="70" t="s">
        <v>296</v>
      </c>
      <c r="I13" s="70"/>
      <c r="J13" s="71"/>
      <c r="T13" s="703" t="s">
        <v>493</v>
      </c>
      <c r="U13" s="649">
        <v>403</v>
      </c>
    </row>
    <row r="14" spans="1:21" ht="15" thickBot="1">
      <c r="B14" s="75" t="s">
        <v>316</v>
      </c>
      <c r="C14" s="70"/>
      <c r="D14" s="70"/>
      <c r="E14" s="70"/>
      <c r="F14" s="70"/>
      <c r="G14" s="70"/>
      <c r="H14" s="70"/>
      <c r="I14" s="70">
        <v>44.35</v>
      </c>
      <c r="J14" s="71" t="s">
        <v>176</v>
      </c>
      <c r="T14" s="703" t="s">
        <v>494</v>
      </c>
      <c r="U14" s="702">
        <v>735</v>
      </c>
    </row>
    <row r="15" spans="1:21" ht="15" thickBot="1">
      <c r="B15" s="75" t="s">
        <v>317</v>
      </c>
      <c r="C15" s="70"/>
      <c r="D15" s="70"/>
      <c r="E15" s="70"/>
      <c r="F15" s="70"/>
      <c r="G15" s="70"/>
      <c r="H15" s="70"/>
      <c r="I15" s="70">
        <v>118.7</v>
      </c>
      <c r="J15" s="71" t="s">
        <v>176</v>
      </c>
      <c r="T15" s="703" t="s">
        <v>1986</v>
      </c>
      <c r="U15" s="702">
        <v>95</v>
      </c>
    </row>
    <row r="16" spans="1:21" ht="15" thickBot="1">
      <c r="B16" s="75" t="s">
        <v>318</v>
      </c>
      <c r="C16" s="70"/>
      <c r="D16" s="70"/>
      <c r="E16" s="70"/>
      <c r="F16" s="70"/>
      <c r="G16" s="70"/>
      <c r="H16" s="70"/>
      <c r="I16" s="70">
        <v>862.56</v>
      </c>
      <c r="J16" s="71" t="s">
        <v>176</v>
      </c>
      <c r="T16" s="703" t="s">
        <v>1987</v>
      </c>
      <c r="U16" s="702">
        <v>1250</v>
      </c>
    </row>
    <row r="17" spans="1:21" ht="15" thickBot="1">
      <c r="B17" s="75"/>
      <c r="C17" s="70"/>
      <c r="D17" s="70"/>
      <c r="E17" s="70"/>
      <c r="F17" s="70"/>
      <c r="G17" s="70"/>
      <c r="H17" s="70"/>
      <c r="I17" s="70"/>
      <c r="J17" s="71"/>
      <c r="T17" s="703" t="s">
        <v>1988</v>
      </c>
      <c r="U17" s="702">
        <v>8978</v>
      </c>
    </row>
    <row r="18" spans="1:21" ht="15" thickBot="1">
      <c r="A18" s="4" t="s">
        <v>299</v>
      </c>
      <c r="B18" s="75" t="s">
        <v>311</v>
      </c>
      <c r="C18" s="70"/>
      <c r="D18" s="70" t="s">
        <v>633</v>
      </c>
      <c r="E18" s="70" t="s">
        <v>298</v>
      </c>
      <c r="F18" s="70"/>
      <c r="G18" s="70"/>
      <c r="H18" s="70" t="s">
        <v>300</v>
      </c>
      <c r="I18" s="70"/>
      <c r="J18" s="71"/>
      <c r="T18" s="703" t="s">
        <v>1989</v>
      </c>
      <c r="U18" s="702">
        <v>3458</v>
      </c>
    </row>
    <row r="19" spans="1:21" ht="15" thickBot="1">
      <c r="B19" s="75" t="s">
        <v>313</v>
      </c>
      <c r="C19" s="70"/>
      <c r="D19" s="70"/>
      <c r="E19" s="70"/>
      <c r="F19" s="70"/>
      <c r="G19" s="70"/>
      <c r="H19" s="70"/>
      <c r="I19" s="70">
        <v>2.4E-2</v>
      </c>
      <c r="J19" s="71" t="s">
        <v>174</v>
      </c>
      <c r="T19" s="703" t="s">
        <v>1990</v>
      </c>
      <c r="U19" s="702">
        <v>3439</v>
      </c>
    </row>
    <row r="20" spans="1:21" ht="15" thickBot="1">
      <c r="B20" s="75" t="s">
        <v>325</v>
      </c>
      <c r="C20" s="70"/>
      <c r="D20" s="70"/>
      <c r="E20" s="70"/>
      <c r="F20" s="70"/>
      <c r="G20" s="70"/>
      <c r="H20" s="70"/>
      <c r="I20" s="70">
        <v>3.4000000000000002E-2</v>
      </c>
      <c r="J20" s="71" t="s">
        <v>174</v>
      </c>
      <c r="T20" s="703" t="s">
        <v>1991</v>
      </c>
      <c r="U20" s="702">
        <v>2081</v>
      </c>
    </row>
    <row r="21" spans="1:21" ht="15" thickBot="1">
      <c r="B21" s="75" t="s">
        <v>175</v>
      </c>
      <c r="C21" s="70"/>
      <c r="D21" s="70"/>
      <c r="E21" s="70"/>
      <c r="F21" s="70"/>
      <c r="G21" s="70"/>
      <c r="H21" s="70"/>
      <c r="I21" s="70">
        <v>2.8299999999999999E-2</v>
      </c>
      <c r="J21" s="71" t="s">
        <v>174</v>
      </c>
      <c r="T21" s="703" t="s">
        <v>1992</v>
      </c>
      <c r="U21" s="702">
        <v>5550</v>
      </c>
    </row>
    <row r="22" spans="1:21" ht="15" thickBot="1">
      <c r="B22" s="75" t="s">
        <v>630</v>
      </c>
      <c r="C22" s="70"/>
      <c r="D22" s="70" t="s">
        <v>631</v>
      </c>
      <c r="E22" s="70" t="s">
        <v>632</v>
      </c>
      <c r="F22" s="70"/>
      <c r="G22" s="70"/>
      <c r="H22" s="70"/>
      <c r="I22" s="70"/>
      <c r="J22" s="71"/>
      <c r="T22" s="703" t="s">
        <v>1993</v>
      </c>
      <c r="U22" s="702">
        <v>248</v>
      </c>
    </row>
    <row r="23" spans="1:21" ht="15" thickBot="1">
      <c r="B23" s="75"/>
      <c r="C23" s="70"/>
      <c r="D23" s="70"/>
      <c r="E23" s="70"/>
      <c r="F23" s="70"/>
      <c r="G23" s="70"/>
      <c r="H23" s="70"/>
      <c r="I23" s="70"/>
      <c r="J23" s="71"/>
      <c r="T23" s="703" t="s">
        <v>1994</v>
      </c>
      <c r="U23" s="702">
        <v>285</v>
      </c>
    </row>
    <row r="24" spans="1:21">
      <c r="B24" s="75"/>
      <c r="C24" s="70"/>
      <c r="D24" s="70"/>
      <c r="E24" s="70"/>
      <c r="F24" s="70"/>
      <c r="G24" s="70"/>
      <c r="H24" s="70"/>
      <c r="I24" s="70"/>
      <c r="J24" s="71"/>
      <c r="T24" s="708" t="s">
        <v>1995</v>
      </c>
    </row>
    <row r="25" spans="1:21">
      <c r="A25" s="4" t="s">
        <v>301</v>
      </c>
      <c r="B25" s="75" t="s">
        <v>302</v>
      </c>
      <c r="C25" s="70"/>
      <c r="D25" s="70">
        <v>127.6</v>
      </c>
      <c r="E25" s="70" t="s">
        <v>298</v>
      </c>
      <c r="F25" s="70">
        <v>5.0000000000000001E-3</v>
      </c>
      <c r="G25" s="70" t="s">
        <v>310</v>
      </c>
      <c r="H25" s="70" t="s">
        <v>303</v>
      </c>
      <c r="I25" s="70"/>
      <c r="J25" s="71"/>
    </row>
    <row r="26" spans="1:21">
      <c r="B26" s="75" t="s">
        <v>304</v>
      </c>
      <c r="C26" s="70"/>
      <c r="D26" s="70" t="s">
        <v>635</v>
      </c>
      <c r="E26" s="70" t="s">
        <v>298</v>
      </c>
      <c r="F26" s="70"/>
      <c r="G26" s="70"/>
      <c r="H26" s="70" t="s">
        <v>305</v>
      </c>
      <c r="I26" s="70"/>
      <c r="J26" s="71"/>
    </row>
    <row r="27" spans="1:21">
      <c r="B27" s="75" t="s">
        <v>306</v>
      </c>
      <c r="C27" s="70"/>
      <c r="D27" s="70" t="s">
        <v>634</v>
      </c>
      <c r="E27" s="70" t="s">
        <v>298</v>
      </c>
      <c r="F27" s="70">
        <v>1E-3</v>
      </c>
      <c r="G27" s="70" t="s">
        <v>310</v>
      </c>
      <c r="H27" s="70" t="s">
        <v>307</v>
      </c>
      <c r="I27" s="70"/>
      <c r="J27" s="71"/>
    </row>
    <row r="28" spans="1:21">
      <c r="B28" s="75"/>
      <c r="C28" s="70"/>
      <c r="D28" s="70"/>
      <c r="E28" s="70"/>
      <c r="F28" s="70"/>
      <c r="G28" s="70"/>
      <c r="H28" s="70"/>
      <c r="I28" s="70"/>
      <c r="J28" s="71"/>
    </row>
    <row r="29" spans="1:21">
      <c r="B29" s="75" t="s">
        <v>314</v>
      </c>
      <c r="C29" s="70"/>
      <c r="D29" s="70"/>
      <c r="E29" s="70"/>
      <c r="F29" s="70"/>
      <c r="G29" s="70"/>
      <c r="H29" s="70"/>
      <c r="I29" s="70">
        <v>60.5</v>
      </c>
      <c r="J29" s="71" t="s">
        <v>323</v>
      </c>
    </row>
    <row r="30" spans="1:21">
      <c r="B30" s="75" t="s">
        <v>326</v>
      </c>
      <c r="C30" s="70"/>
      <c r="D30" s="70"/>
      <c r="E30" s="70"/>
      <c r="F30" s="70"/>
      <c r="G30" s="70"/>
      <c r="H30" s="70"/>
      <c r="I30" s="70">
        <v>40.75</v>
      </c>
      <c r="J30" s="71" t="s">
        <v>323</v>
      </c>
    </row>
    <row r="31" spans="1:21">
      <c r="B31" s="75" t="s">
        <v>320</v>
      </c>
      <c r="C31" s="70"/>
      <c r="D31" s="70">
        <v>15.05</v>
      </c>
      <c r="E31" s="70" t="s">
        <v>625</v>
      </c>
      <c r="F31" s="70">
        <v>3</v>
      </c>
      <c r="G31" s="70" t="s">
        <v>123</v>
      </c>
      <c r="H31" s="70"/>
      <c r="I31" s="70">
        <v>148</v>
      </c>
      <c r="J31" s="71" t="s">
        <v>323</v>
      </c>
    </row>
    <row r="32" spans="1:21">
      <c r="B32" s="75" t="s">
        <v>322</v>
      </c>
      <c r="C32" s="70"/>
      <c r="D32" s="70"/>
      <c r="E32" s="70"/>
      <c r="F32" s="70"/>
      <c r="G32" s="70"/>
      <c r="H32" s="70"/>
      <c r="I32" s="70"/>
      <c r="J32" s="71"/>
    </row>
    <row r="33" spans="2:10">
      <c r="B33" s="75" t="s">
        <v>321</v>
      </c>
      <c r="C33" s="70"/>
      <c r="D33" s="70">
        <v>13.35</v>
      </c>
      <c r="E33" s="70" t="s">
        <v>625</v>
      </c>
      <c r="F33" s="70"/>
      <c r="G33" s="70"/>
      <c r="H33" s="70"/>
      <c r="I33" s="70">
        <v>175</v>
      </c>
      <c r="J33" s="71" t="s">
        <v>324</v>
      </c>
    </row>
    <row r="34" spans="2:10">
      <c r="B34" s="75" t="s">
        <v>172</v>
      </c>
      <c r="C34" s="70"/>
      <c r="D34" s="70">
        <v>16.75</v>
      </c>
      <c r="E34" s="70" t="s">
        <v>625</v>
      </c>
      <c r="F34" s="70"/>
      <c r="G34" s="70"/>
      <c r="H34" s="70"/>
      <c r="I34" s="70">
        <v>45</v>
      </c>
      <c r="J34" s="71" t="s">
        <v>171</v>
      </c>
    </row>
    <row r="35" spans="2:10">
      <c r="B35" s="75" t="s">
        <v>173</v>
      </c>
      <c r="C35" s="70"/>
      <c r="D35" s="70">
        <v>18.2</v>
      </c>
      <c r="E35" s="70" t="s">
        <v>625</v>
      </c>
      <c r="F35" s="70"/>
      <c r="G35" s="70"/>
      <c r="H35" s="70"/>
      <c r="I35" s="70">
        <v>30</v>
      </c>
      <c r="J35" s="71" t="s">
        <v>171</v>
      </c>
    </row>
    <row r="36" spans="2:10">
      <c r="B36" s="75" t="s">
        <v>626</v>
      </c>
      <c r="C36" s="70"/>
      <c r="D36" s="70">
        <v>5.9</v>
      </c>
      <c r="E36" s="70" t="s">
        <v>625</v>
      </c>
      <c r="F36" s="70"/>
      <c r="G36" s="70"/>
      <c r="H36" s="70"/>
      <c r="I36" s="70"/>
      <c r="J36" s="71"/>
    </row>
    <row r="37" spans="2:10">
      <c r="B37" s="75" t="s">
        <v>627</v>
      </c>
      <c r="C37" s="70"/>
      <c r="D37" s="70">
        <v>5.2</v>
      </c>
      <c r="E37" s="70" t="s">
        <v>625</v>
      </c>
      <c r="F37" s="70"/>
      <c r="G37" s="70"/>
      <c r="H37" s="70"/>
      <c r="I37" s="70"/>
      <c r="J37" s="71"/>
    </row>
    <row r="38" spans="2:10">
      <c r="B38" s="75" t="s">
        <v>628</v>
      </c>
      <c r="C38" s="70"/>
      <c r="D38" s="70">
        <v>12.5</v>
      </c>
      <c r="E38" s="70" t="s">
        <v>625</v>
      </c>
      <c r="F38" s="70"/>
      <c r="G38" s="70"/>
      <c r="H38" s="70"/>
      <c r="I38" s="70"/>
      <c r="J38" s="71"/>
    </row>
    <row r="39" spans="2:10">
      <c r="B39" s="75" t="s">
        <v>629</v>
      </c>
      <c r="C39" s="70"/>
      <c r="D39" s="70">
        <v>11.1</v>
      </c>
      <c r="E39" s="70" t="s">
        <v>625</v>
      </c>
      <c r="F39" s="70"/>
      <c r="G39" s="70"/>
      <c r="H39" s="70"/>
      <c r="I39" s="70"/>
      <c r="J39" s="71"/>
    </row>
    <row r="40" spans="2:10">
      <c r="B40" s="75"/>
      <c r="C40" s="70"/>
      <c r="D40" s="70"/>
      <c r="E40" s="70"/>
      <c r="F40" s="70"/>
      <c r="G40" s="70"/>
      <c r="H40" s="70"/>
      <c r="I40" s="70"/>
      <c r="J40" s="71"/>
    </row>
    <row r="41" spans="2:10">
      <c r="B41" s="75"/>
      <c r="C41" s="70"/>
      <c r="D41" s="70"/>
      <c r="E41" s="70"/>
      <c r="F41" s="70"/>
      <c r="G41" s="70"/>
      <c r="H41" s="70"/>
      <c r="I41" s="70"/>
      <c r="J41" s="71"/>
    </row>
    <row r="42" spans="2:10">
      <c r="B42" s="75"/>
      <c r="C42" s="70"/>
      <c r="D42" s="70"/>
      <c r="E42" s="70"/>
      <c r="F42" s="70"/>
      <c r="G42" s="70"/>
      <c r="H42" s="70"/>
      <c r="I42" s="70"/>
      <c r="J42" s="71"/>
    </row>
    <row r="43" spans="2:10">
      <c r="B43" s="83" t="s">
        <v>618</v>
      </c>
      <c r="C43" s="70" t="s">
        <v>599</v>
      </c>
      <c r="D43" s="70"/>
      <c r="E43" s="70"/>
      <c r="F43" s="70"/>
      <c r="G43" s="70"/>
      <c r="H43" s="70"/>
      <c r="I43" s="70">
        <v>160</v>
      </c>
      <c r="J43" s="71" t="s">
        <v>171</v>
      </c>
    </row>
    <row r="44" spans="2:10">
      <c r="B44" s="75" t="s">
        <v>619</v>
      </c>
      <c r="C44" s="70"/>
      <c r="D44" s="70"/>
      <c r="E44" s="70"/>
      <c r="F44" s="70"/>
      <c r="G44" s="70"/>
      <c r="H44" s="70"/>
      <c r="I44" s="70">
        <v>130</v>
      </c>
      <c r="J44" s="71" t="s">
        <v>171</v>
      </c>
    </row>
    <row r="45" spans="2:10">
      <c r="B45" s="75" t="s">
        <v>620</v>
      </c>
      <c r="C45" s="70"/>
      <c r="D45" s="70"/>
      <c r="E45" s="70"/>
      <c r="F45" s="70"/>
      <c r="G45" s="70"/>
      <c r="H45" s="70"/>
      <c r="I45" s="70">
        <v>184</v>
      </c>
      <c r="J45" s="71" t="s">
        <v>171</v>
      </c>
    </row>
    <row r="46" spans="2:10">
      <c r="B46" s="75" t="s">
        <v>621</v>
      </c>
      <c r="C46" s="70"/>
      <c r="D46" s="70"/>
      <c r="E46" s="70"/>
      <c r="F46" s="70"/>
      <c r="G46" s="70"/>
      <c r="H46" s="70"/>
      <c r="I46" s="70">
        <v>188</v>
      </c>
      <c r="J46" s="71" t="s">
        <v>171</v>
      </c>
    </row>
    <row r="47" spans="2:10">
      <c r="B47" s="75" t="s">
        <v>622</v>
      </c>
      <c r="C47" s="70"/>
      <c r="D47" s="70"/>
      <c r="E47" s="70"/>
      <c r="F47" s="70"/>
      <c r="G47" s="70"/>
      <c r="H47" s="70"/>
      <c r="I47" s="70" t="s">
        <v>623</v>
      </c>
      <c r="J47" s="71" t="s">
        <v>171</v>
      </c>
    </row>
    <row r="48" spans="2:10">
      <c r="B48" s="75" t="s">
        <v>624</v>
      </c>
      <c r="C48" s="70"/>
      <c r="D48" s="70"/>
      <c r="E48" s="70"/>
      <c r="F48" s="70"/>
      <c r="G48" s="70"/>
      <c r="H48" s="70"/>
      <c r="I48" s="70">
        <v>229</v>
      </c>
      <c r="J48" s="71" t="s">
        <v>171</v>
      </c>
    </row>
    <row r="49" spans="1:10">
      <c r="B49" s="75"/>
      <c r="C49" s="70"/>
      <c r="D49" s="70"/>
      <c r="E49" s="70"/>
      <c r="F49" s="70"/>
      <c r="G49" s="70"/>
      <c r="H49" s="70"/>
      <c r="I49" s="70"/>
      <c r="J49" s="71"/>
    </row>
    <row r="50" spans="1:10">
      <c r="A50" s="4" t="s">
        <v>636</v>
      </c>
      <c r="B50" s="75" t="s">
        <v>90</v>
      </c>
      <c r="C50" s="70"/>
      <c r="D50" s="70"/>
      <c r="E50" s="70"/>
      <c r="F50" s="70"/>
      <c r="G50" s="70"/>
      <c r="H50" s="70"/>
      <c r="I50" s="70">
        <v>2.2989999999999999</v>
      </c>
      <c r="J50" s="71" t="s">
        <v>637</v>
      </c>
    </row>
    <row r="51" spans="1:10">
      <c r="B51" s="75" t="s">
        <v>638</v>
      </c>
      <c r="C51" s="70"/>
      <c r="D51" s="70"/>
      <c r="E51" s="70"/>
      <c r="F51" s="70"/>
      <c r="G51" s="70"/>
      <c r="H51" s="70"/>
      <c r="I51" s="70">
        <v>2.2469999999999999</v>
      </c>
      <c r="J51" s="71" t="s">
        <v>637</v>
      </c>
    </row>
    <row r="52" spans="1:10">
      <c r="B52" s="75" t="s">
        <v>167</v>
      </c>
      <c r="C52" s="70"/>
      <c r="D52" s="70"/>
      <c r="E52" s="70"/>
      <c r="F52" s="70"/>
      <c r="G52" s="70"/>
      <c r="H52" s="70"/>
      <c r="I52" s="70">
        <v>2.6539999999999999</v>
      </c>
      <c r="J52" s="71" t="s">
        <v>637</v>
      </c>
    </row>
    <row r="53" spans="1:10">
      <c r="B53" s="75" t="s">
        <v>168</v>
      </c>
      <c r="C53" s="70"/>
      <c r="D53" s="70"/>
      <c r="E53" s="70"/>
      <c r="F53" s="70"/>
      <c r="G53" s="70"/>
      <c r="H53" s="70"/>
      <c r="I53" s="70">
        <v>2.5049999999999999</v>
      </c>
      <c r="J53" s="71" t="s">
        <v>637</v>
      </c>
    </row>
    <row r="54" spans="1:10" ht="13.8" thickBot="1">
      <c r="B54" s="76" t="s">
        <v>170</v>
      </c>
      <c r="C54" s="72"/>
      <c r="D54" s="72"/>
      <c r="E54" s="72"/>
      <c r="F54" s="72"/>
      <c r="G54" s="72"/>
      <c r="H54" s="72"/>
      <c r="I54" s="72">
        <v>2.6539999999999999</v>
      </c>
      <c r="J54" s="74" t="s">
        <v>637</v>
      </c>
    </row>
    <row r="56" spans="1:10">
      <c r="B56" t="s">
        <v>308</v>
      </c>
    </row>
    <row r="57" spans="1:10">
      <c r="B57" t="s">
        <v>309</v>
      </c>
    </row>
    <row r="59" spans="1:10" ht="13.8" thickBot="1"/>
    <row r="60" spans="1:10" ht="13.8" thickBot="1">
      <c r="B60" s="109" t="s">
        <v>489</v>
      </c>
      <c r="C60" s="110"/>
      <c r="D60" s="111" t="s">
        <v>488</v>
      </c>
      <c r="G60" s="685" t="s">
        <v>1896</v>
      </c>
    </row>
    <row r="61" spans="1:10">
      <c r="B61" s="107" t="s">
        <v>487</v>
      </c>
      <c r="C61" s="100"/>
      <c r="D61" s="112">
        <v>2353</v>
      </c>
    </row>
    <row r="62" spans="1:10">
      <c r="B62" s="75" t="s">
        <v>490</v>
      </c>
      <c r="C62" s="70"/>
      <c r="D62" s="113">
        <v>52254</v>
      </c>
    </row>
    <row r="63" spans="1:10">
      <c r="B63" s="75" t="s">
        <v>491</v>
      </c>
      <c r="C63" s="93">
        <v>49119</v>
      </c>
      <c r="D63" s="71"/>
    </row>
    <row r="64" spans="1:10">
      <c r="B64" s="75" t="s">
        <v>492</v>
      </c>
      <c r="C64" s="93">
        <v>3135</v>
      </c>
      <c r="D64" s="71"/>
    </row>
    <row r="65" spans="2:6">
      <c r="B65" s="75" t="s">
        <v>493</v>
      </c>
      <c r="C65" s="70"/>
      <c r="D65" s="71">
        <v>403</v>
      </c>
    </row>
    <row r="66" spans="2:6">
      <c r="B66" s="75" t="s">
        <v>494</v>
      </c>
      <c r="C66" s="70"/>
      <c r="D66" s="71">
        <v>735</v>
      </c>
    </row>
    <row r="67" spans="2:6">
      <c r="B67" s="75" t="s">
        <v>495</v>
      </c>
      <c r="C67" s="70"/>
      <c r="D67" s="71">
        <v>95</v>
      </c>
    </row>
    <row r="68" spans="2:6">
      <c r="B68" s="75" t="s">
        <v>496</v>
      </c>
      <c r="C68" s="70"/>
      <c r="D68" s="113">
        <v>1250</v>
      </c>
    </row>
    <row r="69" spans="2:6">
      <c r="B69" s="75"/>
      <c r="C69" s="70"/>
      <c r="D69" s="71"/>
    </row>
    <row r="70" spans="2:6">
      <c r="B70" s="75" t="s">
        <v>497</v>
      </c>
      <c r="C70" s="70"/>
      <c r="D70" s="113">
        <v>3458</v>
      </c>
    </row>
    <row r="71" spans="2:6">
      <c r="B71" s="75" t="s">
        <v>498</v>
      </c>
      <c r="C71" s="70"/>
      <c r="D71" s="113">
        <v>3439</v>
      </c>
    </row>
    <row r="72" spans="2:6">
      <c r="B72" s="75" t="s">
        <v>499</v>
      </c>
      <c r="C72" s="70"/>
      <c r="D72" s="114">
        <v>2081</v>
      </c>
    </row>
    <row r="73" spans="2:6">
      <c r="B73" s="75" t="s">
        <v>500</v>
      </c>
      <c r="C73" s="70"/>
      <c r="D73" s="113">
        <v>63175</v>
      </c>
    </row>
    <row r="74" spans="2:6">
      <c r="B74" s="75"/>
      <c r="C74" s="70"/>
      <c r="D74" s="71"/>
    </row>
    <row r="75" spans="2:6">
      <c r="B75" s="75" t="s">
        <v>299</v>
      </c>
      <c r="C75" s="70"/>
      <c r="D75" s="113">
        <v>5550</v>
      </c>
    </row>
    <row r="76" spans="2:6">
      <c r="B76" s="75" t="s">
        <v>501</v>
      </c>
      <c r="C76" s="70"/>
      <c r="D76" s="113">
        <v>248</v>
      </c>
    </row>
    <row r="77" spans="2:6" ht="13.8" thickBot="1">
      <c r="B77" s="76" t="s">
        <v>293</v>
      </c>
      <c r="C77" s="72"/>
      <c r="D77" s="115">
        <v>285</v>
      </c>
    </row>
    <row r="79" spans="2:6" ht="13.8" thickBot="1"/>
    <row r="80" spans="2:6" ht="46.8">
      <c r="B80" s="992" t="s">
        <v>600</v>
      </c>
      <c r="C80" s="994" t="s">
        <v>779</v>
      </c>
      <c r="D80" s="116" t="s">
        <v>601</v>
      </c>
      <c r="E80" s="116" t="s">
        <v>603</v>
      </c>
      <c r="F80" s="996"/>
    </row>
    <row r="81" spans="2:6" ht="31.8" thickBot="1">
      <c r="B81" s="993"/>
      <c r="C81" s="995"/>
      <c r="D81" s="117" t="s">
        <v>602</v>
      </c>
      <c r="E81" s="117" t="s">
        <v>780</v>
      </c>
      <c r="F81" s="997"/>
    </row>
    <row r="82" spans="2:6" ht="31.8" thickTop="1">
      <c r="B82" s="24" t="s">
        <v>604</v>
      </c>
      <c r="C82" s="25">
        <v>4.9000000000000004</v>
      </c>
      <c r="D82" s="25">
        <v>4</v>
      </c>
      <c r="E82" s="25">
        <v>3.3</v>
      </c>
      <c r="F82" s="26" t="s">
        <v>605</v>
      </c>
    </row>
    <row r="83" spans="2:6" ht="18">
      <c r="B83" s="24" t="s">
        <v>606</v>
      </c>
      <c r="C83" s="25">
        <v>372</v>
      </c>
      <c r="D83" s="25">
        <v>318</v>
      </c>
      <c r="E83" s="25">
        <v>263</v>
      </c>
      <c r="F83" s="26" t="s">
        <v>607</v>
      </c>
    </row>
    <row r="84" spans="2:6" ht="15.6">
      <c r="B84" s="24" t="s">
        <v>608</v>
      </c>
      <c r="C84" s="25">
        <v>9.4</v>
      </c>
      <c r="D84" s="25">
        <v>3.7</v>
      </c>
      <c r="E84" s="25">
        <v>2</v>
      </c>
      <c r="F84" s="26" t="s">
        <v>607</v>
      </c>
    </row>
    <row r="85" spans="2:6" ht="18">
      <c r="B85" s="24" t="s">
        <v>609</v>
      </c>
      <c r="C85" s="25">
        <v>4.7</v>
      </c>
      <c r="D85" s="25">
        <v>4</v>
      </c>
      <c r="E85" s="25">
        <v>3.3</v>
      </c>
      <c r="F85" s="26" t="s">
        <v>607</v>
      </c>
    </row>
    <row r="86" spans="2:6" ht="15.6">
      <c r="B86" s="24" t="s">
        <v>610</v>
      </c>
      <c r="C86" s="25">
        <v>0.33</v>
      </c>
      <c r="D86" s="25">
        <v>0.27</v>
      </c>
      <c r="E86" s="25">
        <v>0.22</v>
      </c>
      <c r="F86" s="26" t="s">
        <v>607</v>
      </c>
    </row>
    <row r="87" spans="2:6" ht="15.6">
      <c r="B87" s="24" t="s">
        <v>611</v>
      </c>
      <c r="C87" s="25">
        <v>1.3</v>
      </c>
      <c r="D87" s="25">
        <v>0.37</v>
      </c>
      <c r="E87" s="25">
        <v>0.3</v>
      </c>
      <c r="F87" s="26" t="s">
        <v>607</v>
      </c>
    </row>
    <row r="88" spans="2:6" ht="18">
      <c r="B88" s="24" t="s">
        <v>612</v>
      </c>
      <c r="C88" s="25">
        <v>0.71</v>
      </c>
      <c r="D88" s="25">
        <v>0.6</v>
      </c>
      <c r="E88" s="25">
        <v>0.48</v>
      </c>
      <c r="F88" s="26" t="s">
        <v>607</v>
      </c>
    </row>
    <row r="89" spans="2:6" ht="16.2" thickBot="1">
      <c r="B89" s="27" t="s">
        <v>613</v>
      </c>
      <c r="C89" s="28">
        <v>0.53</v>
      </c>
      <c r="D89" s="28">
        <v>0.44</v>
      </c>
      <c r="E89" s="28">
        <v>0.33</v>
      </c>
      <c r="F89" s="29" t="s">
        <v>607</v>
      </c>
    </row>
  </sheetData>
  <mergeCells count="9">
    <mergeCell ref="N7:N8"/>
    <mergeCell ref="P7:P8"/>
    <mergeCell ref="Q7:Q8"/>
    <mergeCell ref="R7:R8"/>
    <mergeCell ref="B80:B81"/>
    <mergeCell ref="C80:C81"/>
    <mergeCell ref="F80:F81"/>
    <mergeCell ref="L7:L8"/>
    <mergeCell ref="M7:M8"/>
  </mergeCells>
  <phoneticPr fontId="2" type="noConversion"/>
  <hyperlinks>
    <hyperlink ref="A1" location="'About og Fane-Link'!A1" display="Til Forsiden" xr:uid="{00000000-0004-0000-1100-000000000000}"/>
  </hyperlinks>
  <printOptions gridLines="1"/>
  <pageMargins left="0.75" right="0.75" top="1" bottom="1" header="0" footer="0"/>
  <pageSetup paperSize="9" scale="65" orientation="portrait" r:id="rId1"/>
  <headerFooter alignWithMargins="0"/>
  <colBreaks count="1" manualBreakCount="1">
    <brk id="10" max="1048575" man="1"/>
  </col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22"/>
  <sheetViews>
    <sheetView topLeftCell="A13" workbookViewId="0"/>
  </sheetViews>
  <sheetFormatPr defaultRowHeight="13.2"/>
  <cols>
    <col min="2" max="2" width="17.88671875" customWidth="1"/>
    <col min="3" max="3" width="31.33203125" customWidth="1"/>
    <col min="4" max="4" width="25.109375" customWidth="1"/>
    <col min="5" max="5" width="18" customWidth="1"/>
    <col min="6" max="8" width="9.5546875" customWidth="1"/>
    <col min="9" max="9" width="14.5546875" customWidth="1"/>
    <col min="10" max="10" width="13" customWidth="1"/>
    <col min="11" max="13" width="14.5546875" customWidth="1"/>
  </cols>
  <sheetData>
    <row r="1" spans="1:13">
      <c r="A1" s="44" t="s">
        <v>2527</v>
      </c>
    </row>
    <row r="2" spans="1:13" ht="86.25" customHeight="1"/>
    <row r="3" spans="1:13">
      <c r="A3" s="861" t="s">
        <v>2400</v>
      </c>
    </row>
    <row r="4" spans="1:13">
      <c r="A4" s="862"/>
    </row>
    <row r="5" spans="1:13">
      <c r="A5" s="862"/>
    </row>
    <row r="6" spans="1:13">
      <c r="A6" s="862"/>
    </row>
    <row r="7" spans="1:13">
      <c r="A7" s="862"/>
    </row>
    <row r="8" spans="1:13">
      <c r="A8" s="862"/>
    </row>
    <row r="9" spans="1:13">
      <c r="A9" s="862"/>
    </row>
    <row r="10" spans="1:13">
      <c r="A10" s="862"/>
    </row>
    <row r="11" spans="1:13" ht="13.8" thickBot="1"/>
    <row r="12" spans="1:13" s="867" customFormat="1" ht="42.6" thickBot="1">
      <c r="A12" s="863"/>
      <c r="B12" s="864" t="s">
        <v>2401</v>
      </c>
      <c r="C12" s="864" t="s">
        <v>2402</v>
      </c>
      <c r="D12" s="865" t="s">
        <v>2403</v>
      </c>
      <c r="E12" s="866" t="s">
        <v>2404</v>
      </c>
      <c r="F12" s="867" t="s">
        <v>2405</v>
      </c>
      <c r="G12" s="867" t="s">
        <v>2406</v>
      </c>
      <c r="H12" s="867" t="s">
        <v>2407</v>
      </c>
      <c r="I12" s="867" t="s">
        <v>2408</v>
      </c>
      <c r="J12" s="867" t="s">
        <v>2409</v>
      </c>
      <c r="K12" s="867" t="s">
        <v>2410</v>
      </c>
      <c r="L12" s="867" t="s">
        <v>2411</v>
      </c>
      <c r="M12" s="867" t="s">
        <v>2412</v>
      </c>
    </row>
    <row r="13" spans="1:13" ht="13.8" thickBot="1">
      <c r="A13" s="868" t="s">
        <v>2016</v>
      </c>
      <c r="B13" s="869"/>
      <c r="C13" s="869"/>
      <c r="D13" s="870">
        <f>(I13+(21*K13)+(310*M13))/1000</f>
        <v>0</v>
      </c>
      <c r="E13" s="871">
        <f>(B13*H13)/1000</f>
        <v>0</v>
      </c>
      <c r="F13">
        <v>0.99</v>
      </c>
      <c r="G13" s="872">
        <v>66</v>
      </c>
      <c r="H13" s="872">
        <v>34.200000000000003</v>
      </c>
      <c r="I13">
        <f>B13*H13*G13*F13/1000</f>
        <v>0</v>
      </c>
      <c r="J13">
        <v>7.5999999999999998E-2</v>
      </c>
      <c r="K13">
        <f>(C13*J13)/1000</f>
        <v>0</v>
      </c>
      <c r="L13">
        <v>0.122</v>
      </c>
      <c r="M13">
        <f>(C13*L13)/1000</f>
        <v>0</v>
      </c>
    </row>
    <row r="14" spans="1:13" ht="13.8" thickBot="1">
      <c r="A14" s="873" t="s">
        <v>167</v>
      </c>
      <c r="B14" s="874"/>
      <c r="C14" s="874"/>
      <c r="D14" s="875">
        <f>(I14+(21*K14)+(310*M14))/1000</f>
        <v>0</v>
      </c>
      <c r="E14" s="871">
        <f>(B14*H14)/1000</f>
        <v>0</v>
      </c>
      <c r="F14">
        <v>0.99</v>
      </c>
      <c r="G14" s="872">
        <v>69.7</v>
      </c>
      <c r="H14" s="872">
        <v>38.6</v>
      </c>
      <c r="I14">
        <f>B14*H14*G14*F14/1000</f>
        <v>0</v>
      </c>
      <c r="J14">
        <v>0.01</v>
      </c>
      <c r="K14">
        <f>(C14*J14)/1000</f>
        <v>0</v>
      </c>
      <c r="L14">
        <v>0.01</v>
      </c>
      <c r="M14">
        <f>(C14*L14)/1000</f>
        <v>0</v>
      </c>
    </row>
    <row r="15" spans="1:13" ht="13.8" thickBot="1">
      <c r="A15" s="876" t="s">
        <v>1493</v>
      </c>
      <c r="B15" s="877"/>
      <c r="C15" s="874"/>
      <c r="D15" s="875">
        <f>(I15+(21*K15)+(310*M15))/1000</f>
        <v>0</v>
      </c>
      <c r="E15" s="871">
        <f>(B15*H15)/1000</f>
        <v>0</v>
      </c>
      <c r="F15">
        <v>0.99</v>
      </c>
      <c r="G15" s="872">
        <v>59.4</v>
      </c>
      <c r="H15" s="872">
        <v>25.7</v>
      </c>
      <c r="I15">
        <f>B15*H15*G15*F15/1000</f>
        <v>0</v>
      </c>
      <c r="J15">
        <v>8.6999999999999994E-2</v>
      </c>
      <c r="K15">
        <f>(C15*J15)/1000</f>
        <v>0</v>
      </c>
      <c r="L15">
        <v>7.9000000000000008E-3</v>
      </c>
      <c r="M15">
        <f>(C15*L15)/1000</f>
        <v>0</v>
      </c>
    </row>
    <row r="16" spans="1:13" ht="13.8" thickBot="1">
      <c r="C16" s="878" t="s">
        <v>2413</v>
      </c>
      <c r="D16" s="879">
        <f>SUM(D13:D15)</f>
        <v>0</v>
      </c>
      <c r="E16" s="880">
        <f>SUM(E13:E15)</f>
        <v>0</v>
      </c>
    </row>
    <row r="17" spans="1:7" s="881" customFormat="1" ht="10.199999999999999">
      <c r="G17" s="881" t="s">
        <v>2414</v>
      </c>
    </row>
    <row r="18" spans="1:7" s="881" customFormat="1" ht="12.6">
      <c r="A18" s="881" t="s">
        <v>2415</v>
      </c>
      <c r="B18" s="881" t="s">
        <v>2416</v>
      </c>
    </row>
    <row r="19" spans="1:7" s="881" customFormat="1" ht="12.6">
      <c r="B19" s="881" t="s">
        <v>2417</v>
      </c>
    </row>
    <row r="20" spans="1:7" ht="13.8">
      <c r="A20" s="881"/>
      <c r="B20" s="881" t="s">
        <v>2418</v>
      </c>
      <c r="C20" s="881"/>
    </row>
    <row r="21" spans="1:7">
      <c r="B21" s="881" t="s">
        <v>2419</v>
      </c>
    </row>
    <row r="22" spans="1:7">
      <c r="B22" s="881" t="s">
        <v>2420</v>
      </c>
    </row>
  </sheetData>
  <hyperlinks>
    <hyperlink ref="A1" location="'About og Fane-Link'!A1" display="Til Forsiden" xr:uid="{00000000-0004-0000-1200-000000000000}"/>
  </hyperlink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4"/>
  <sheetViews>
    <sheetView workbookViewId="0">
      <selection activeCell="B1" sqref="B1"/>
    </sheetView>
  </sheetViews>
  <sheetFormatPr defaultRowHeight="13.2"/>
  <cols>
    <col min="2" max="2" width="19.33203125" customWidth="1"/>
    <col min="3" max="3" width="7.88671875" customWidth="1"/>
    <col min="4" max="4" width="13.44140625" customWidth="1"/>
    <col min="5" max="5" width="12.109375" customWidth="1"/>
    <col min="6" max="6" width="15.33203125" customWidth="1"/>
    <col min="7" max="7" width="14" customWidth="1"/>
    <col min="8" max="8" width="11.44140625" bestFit="1" customWidth="1"/>
    <col min="9" max="9" width="13.33203125" bestFit="1" customWidth="1"/>
  </cols>
  <sheetData>
    <row r="1" spans="1:7">
      <c r="A1" s="44" t="s">
        <v>2527</v>
      </c>
    </row>
    <row r="2" spans="1:7" ht="16.2" thickBot="1">
      <c r="B2" s="23" t="s">
        <v>469</v>
      </c>
    </row>
    <row r="3" spans="1:7" ht="23.25" customHeight="1">
      <c r="B3" s="940"/>
      <c r="C3" s="942" t="s">
        <v>6</v>
      </c>
      <c r="D3" s="51" t="s">
        <v>10</v>
      </c>
      <c r="E3" s="51" t="s">
        <v>40</v>
      </c>
      <c r="F3" s="51" t="s">
        <v>187</v>
      </c>
      <c r="G3" s="52" t="s">
        <v>424</v>
      </c>
    </row>
    <row r="4" spans="1:7" ht="22.5" customHeight="1" thickBot="1">
      <c r="B4" s="941"/>
      <c r="C4" s="943"/>
      <c r="D4" s="53" t="s">
        <v>423</v>
      </c>
      <c r="E4" s="53" t="s">
        <v>423</v>
      </c>
      <c r="F4" s="53" t="s">
        <v>423</v>
      </c>
      <c r="G4" s="54" t="s">
        <v>423</v>
      </c>
    </row>
    <row r="5" spans="1:7" ht="13.8" thickTop="1">
      <c r="B5" s="944" t="s">
        <v>425</v>
      </c>
      <c r="C5" s="945"/>
      <c r="D5" s="945"/>
      <c r="E5" s="945"/>
      <c r="F5" s="945"/>
      <c r="G5" s="946"/>
    </row>
    <row r="6" spans="1:7">
      <c r="B6" s="17" t="s">
        <v>426</v>
      </c>
      <c r="C6" s="18" t="s">
        <v>427</v>
      </c>
      <c r="D6" s="18" t="s">
        <v>428</v>
      </c>
      <c r="E6" s="18"/>
      <c r="F6" s="18"/>
      <c r="G6" s="19" t="s">
        <v>428</v>
      </c>
    </row>
    <row r="7" spans="1:7">
      <c r="B7" s="17" t="s">
        <v>429</v>
      </c>
      <c r="C7" s="18" t="s">
        <v>430</v>
      </c>
      <c r="D7" s="18" t="s">
        <v>431</v>
      </c>
      <c r="E7" s="18"/>
      <c r="F7" s="18"/>
      <c r="G7" s="19"/>
    </row>
    <row r="8" spans="1:7">
      <c r="B8" s="17" t="s">
        <v>432</v>
      </c>
      <c r="C8" s="18" t="s">
        <v>430</v>
      </c>
      <c r="D8" s="18"/>
      <c r="E8" s="18"/>
      <c r="F8" s="18"/>
      <c r="G8" s="19" t="s">
        <v>433</v>
      </c>
    </row>
    <row r="9" spans="1:7">
      <c r="B9" s="17" t="s">
        <v>159</v>
      </c>
      <c r="C9" s="18" t="s">
        <v>156</v>
      </c>
      <c r="D9" s="18" t="s">
        <v>434</v>
      </c>
      <c r="E9" s="18" t="s">
        <v>435</v>
      </c>
      <c r="F9" s="18" t="s">
        <v>436</v>
      </c>
      <c r="G9" s="19" t="s">
        <v>437</v>
      </c>
    </row>
    <row r="10" spans="1:7">
      <c r="B10" s="17" t="s">
        <v>180</v>
      </c>
      <c r="C10" s="18" t="s">
        <v>438</v>
      </c>
      <c r="D10" s="18" t="s">
        <v>439</v>
      </c>
      <c r="E10" s="18" t="s">
        <v>440</v>
      </c>
      <c r="F10" s="18" t="s">
        <v>441</v>
      </c>
      <c r="G10" s="19" t="s">
        <v>442</v>
      </c>
    </row>
    <row r="11" spans="1:7">
      <c r="B11" s="17" t="s">
        <v>443</v>
      </c>
      <c r="C11" s="18" t="s">
        <v>438</v>
      </c>
      <c r="D11" s="18"/>
      <c r="E11" s="18"/>
      <c r="F11" s="18"/>
      <c r="G11" s="19" t="s">
        <v>444</v>
      </c>
    </row>
    <row r="12" spans="1:7" ht="15.6">
      <c r="B12" s="17" t="s">
        <v>54</v>
      </c>
      <c r="C12" s="18" t="s">
        <v>445</v>
      </c>
      <c r="D12" s="18"/>
      <c r="E12" s="18" t="s">
        <v>446</v>
      </c>
      <c r="F12" s="18"/>
      <c r="G12" s="19" t="s">
        <v>447</v>
      </c>
    </row>
    <row r="13" spans="1:7">
      <c r="B13" s="17" t="s">
        <v>78</v>
      </c>
      <c r="C13" s="18" t="s">
        <v>448</v>
      </c>
      <c r="D13" s="18"/>
      <c r="E13" s="18"/>
      <c r="F13" s="22" t="s">
        <v>468</v>
      </c>
      <c r="G13" s="19"/>
    </row>
    <row r="14" spans="1:7" ht="12.75" customHeight="1">
      <c r="B14" s="937" t="s">
        <v>449</v>
      </c>
      <c r="C14" s="938"/>
      <c r="D14" s="938"/>
      <c r="E14" s="938"/>
      <c r="F14" s="938"/>
      <c r="G14" s="939"/>
    </row>
    <row r="15" spans="1:7">
      <c r="B15" s="17" t="s">
        <v>450</v>
      </c>
      <c r="C15" s="18" t="s">
        <v>430</v>
      </c>
      <c r="D15" s="18"/>
      <c r="E15" s="18"/>
      <c r="F15" s="18" t="s">
        <v>451</v>
      </c>
      <c r="G15" s="19"/>
    </row>
    <row r="16" spans="1:7">
      <c r="B16" s="17" t="s">
        <v>452</v>
      </c>
      <c r="C16" s="18" t="s">
        <v>430</v>
      </c>
      <c r="D16" s="18"/>
      <c r="E16" s="18"/>
      <c r="F16" s="18"/>
      <c r="G16" s="19">
        <v>1E-3</v>
      </c>
    </row>
    <row r="17" spans="2:9">
      <c r="B17" s="17" t="s">
        <v>453</v>
      </c>
      <c r="C17" s="18" t="s">
        <v>430</v>
      </c>
      <c r="D17" s="18"/>
      <c r="E17" s="18"/>
      <c r="F17" s="18"/>
      <c r="G17" s="19">
        <v>3.0000000000000001E-3</v>
      </c>
    </row>
    <row r="18" spans="2:9" ht="12.75" customHeight="1">
      <c r="B18" s="937" t="s">
        <v>454</v>
      </c>
      <c r="C18" s="938"/>
      <c r="D18" s="938"/>
      <c r="E18" s="938"/>
      <c r="F18" s="938"/>
      <c r="G18" s="939"/>
    </row>
    <row r="19" spans="2:9" ht="15.6">
      <c r="B19" s="17" t="s">
        <v>455</v>
      </c>
      <c r="C19" s="18" t="s">
        <v>430</v>
      </c>
      <c r="D19" s="18" t="s">
        <v>456</v>
      </c>
      <c r="E19" s="18" t="s">
        <v>457</v>
      </c>
      <c r="F19" s="18"/>
      <c r="G19" s="19" t="s">
        <v>458</v>
      </c>
    </row>
    <row r="20" spans="2:9" ht="15.6">
      <c r="B20" s="17" t="s">
        <v>459</v>
      </c>
      <c r="C20" s="18" t="s">
        <v>430</v>
      </c>
      <c r="D20" s="18" t="s">
        <v>460</v>
      </c>
      <c r="E20" s="18"/>
      <c r="F20" s="18"/>
      <c r="G20" s="19" t="s">
        <v>461</v>
      </c>
    </row>
    <row r="21" spans="2:9" ht="15.6">
      <c r="B21" s="17" t="s">
        <v>462</v>
      </c>
      <c r="C21" s="18" t="s">
        <v>430</v>
      </c>
      <c r="D21" s="18" t="s">
        <v>428</v>
      </c>
      <c r="E21" s="18"/>
      <c r="F21" s="18" t="s">
        <v>463</v>
      </c>
      <c r="G21" s="19" t="s">
        <v>464</v>
      </c>
    </row>
    <row r="22" spans="2:9">
      <c r="B22" s="17"/>
      <c r="C22" s="18"/>
      <c r="D22" s="18"/>
      <c r="E22" s="18"/>
      <c r="F22" s="18"/>
      <c r="G22" s="19"/>
    </row>
    <row r="23" spans="2:9" ht="13.8" thickBot="1">
      <c r="B23" s="50" t="s">
        <v>416</v>
      </c>
      <c r="C23" s="20" t="s">
        <v>430</v>
      </c>
      <c r="D23" s="20" t="s">
        <v>465</v>
      </c>
      <c r="E23" s="20"/>
      <c r="F23" s="20" t="s">
        <v>466</v>
      </c>
      <c r="G23" s="21" t="s">
        <v>467</v>
      </c>
    </row>
    <row r="25" spans="2:9">
      <c r="B25" s="16"/>
    </row>
    <row r="26" spans="2:9" s="628" customFormat="1" ht="66">
      <c r="B26" s="627" t="s">
        <v>470</v>
      </c>
      <c r="C26" s="627"/>
      <c r="D26" s="15" t="s">
        <v>1851</v>
      </c>
      <c r="E26" s="627"/>
      <c r="F26" s="15" t="s">
        <v>740</v>
      </c>
      <c r="G26" s="15" t="s">
        <v>741</v>
      </c>
      <c r="H26" s="15" t="s">
        <v>742</v>
      </c>
      <c r="I26" s="15" t="s">
        <v>743</v>
      </c>
    </row>
    <row r="27" spans="2:9">
      <c r="B27" s="4" t="s">
        <v>734</v>
      </c>
      <c r="D27" s="1">
        <v>202143</v>
      </c>
      <c r="F27">
        <v>12</v>
      </c>
      <c r="G27">
        <v>52</v>
      </c>
      <c r="H27">
        <v>-318</v>
      </c>
      <c r="I27">
        <v>-370</v>
      </c>
    </row>
    <row r="28" spans="2:9">
      <c r="B28" s="4" t="s">
        <v>735</v>
      </c>
      <c r="D28" s="1">
        <v>7664</v>
      </c>
      <c r="F28">
        <v>17.399999999999999</v>
      </c>
      <c r="G28">
        <v>617</v>
      </c>
      <c r="H28">
        <v>-2180</v>
      </c>
      <c r="I28">
        <v>-2797</v>
      </c>
    </row>
    <row r="29" spans="2:9">
      <c r="B29" s="4" t="s">
        <v>736</v>
      </c>
      <c r="D29" s="1">
        <v>1345000</v>
      </c>
      <c r="F29">
        <v>56.6</v>
      </c>
      <c r="I29">
        <v>-4.0999999999999996</v>
      </c>
    </row>
    <row r="30" spans="2:9">
      <c r="B30" s="4" t="s">
        <v>737</v>
      </c>
      <c r="D30" s="1">
        <v>2266</v>
      </c>
      <c r="F30">
        <v>26.6</v>
      </c>
      <c r="G30">
        <v>-1800</v>
      </c>
      <c r="H30">
        <v>-4420</v>
      </c>
      <c r="I30">
        <v>-2620</v>
      </c>
    </row>
    <row r="31" spans="2:9">
      <c r="B31" s="4" t="s">
        <v>738</v>
      </c>
      <c r="D31" s="1">
        <v>5995</v>
      </c>
      <c r="F31">
        <v>47.1</v>
      </c>
      <c r="G31">
        <v>-1250</v>
      </c>
      <c r="H31">
        <v>-1650</v>
      </c>
      <c r="I31">
        <v>-400</v>
      </c>
    </row>
    <row r="32" spans="2:9">
      <c r="D32" s="1"/>
    </row>
    <row r="33" spans="2:2">
      <c r="B33" t="s">
        <v>422</v>
      </c>
    </row>
    <row r="34" spans="2:2">
      <c r="B34" s="44" t="s">
        <v>739</v>
      </c>
    </row>
  </sheetData>
  <mergeCells count="5">
    <mergeCell ref="B18:G18"/>
    <mergeCell ref="B3:B4"/>
    <mergeCell ref="C3:C4"/>
    <mergeCell ref="B5:G5"/>
    <mergeCell ref="B14:G14"/>
  </mergeCells>
  <phoneticPr fontId="2" type="noConversion"/>
  <hyperlinks>
    <hyperlink ref="B34" r:id="rId1" xr:uid="{00000000-0004-0000-0100-000000000000}"/>
    <hyperlink ref="A1" location="'About og Fane-Link'!A1" display="Til Forsiden" xr:uid="{00000000-0004-0000-0100-000001000000}"/>
  </hyperlinks>
  <pageMargins left="0.75" right="0.75" top="1" bottom="1" header="0" footer="0"/>
  <pageSetup paperSize="9"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4"/>
  <sheetViews>
    <sheetView workbookViewId="0"/>
  </sheetViews>
  <sheetFormatPr defaultRowHeight="13.2"/>
  <cols>
    <col min="2" max="2" width="20.109375" customWidth="1"/>
    <col min="3" max="4" width="14.6640625" customWidth="1"/>
    <col min="5" max="5" width="18.5546875" customWidth="1"/>
    <col min="6" max="6" width="11.5546875" customWidth="1"/>
    <col min="7" max="7" width="17.109375" customWidth="1"/>
  </cols>
  <sheetData>
    <row r="1" spans="1:7">
      <c r="A1" s="44" t="s">
        <v>2527</v>
      </c>
    </row>
    <row r="3" spans="1:7" ht="13.8" thickBot="1">
      <c r="B3" t="s">
        <v>398</v>
      </c>
    </row>
    <row r="4" spans="1:7" ht="31.2">
      <c r="B4" s="672" t="s">
        <v>419</v>
      </c>
      <c r="C4" s="673"/>
      <c r="D4" s="673"/>
      <c r="E4" s="673"/>
      <c r="F4" s="674" t="s">
        <v>1892</v>
      </c>
      <c r="G4" s="675" t="s">
        <v>1891</v>
      </c>
    </row>
    <row r="5" spans="1:7" ht="15.6">
      <c r="B5" s="676" t="s">
        <v>399</v>
      </c>
      <c r="C5" s="668"/>
      <c r="D5" s="668" t="s">
        <v>6</v>
      </c>
      <c r="E5" s="668" t="s">
        <v>401</v>
      </c>
      <c r="F5" s="668" t="s">
        <v>176</v>
      </c>
      <c r="G5" s="677" t="s">
        <v>18</v>
      </c>
    </row>
    <row r="6" spans="1:7" ht="18">
      <c r="B6" s="678" t="s">
        <v>402</v>
      </c>
      <c r="C6" s="669">
        <v>8700</v>
      </c>
      <c r="D6" s="669" t="s">
        <v>400</v>
      </c>
      <c r="E6" s="669" t="s">
        <v>403</v>
      </c>
      <c r="F6" s="124"/>
      <c r="G6" s="679"/>
    </row>
    <row r="7" spans="1:7" ht="18">
      <c r="B7" s="678" t="s">
        <v>404</v>
      </c>
      <c r="C7" s="669">
        <v>124</v>
      </c>
      <c r="D7" s="669" t="s">
        <v>400</v>
      </c>
      <c r="E7" s="669" t="s">
        <v>405</v>
      </c>
      <c r="F7" s="124"/>
      <c r="G7" s="679"/>
    </row>
    <row r="8" spans="1:7" ht="18">
      <c r="B8" s="678" t="s">
        <v>406</v>
      </c>
      <c r="C8" s="669" t="s">
        <v>407</v>
      </c>
      <c r="D8" s="669" t="s">
        <v>400</v>
      </c>
      <c r="E8" s="669" t="s">
        <v>408</v>
      </c>
      <c r="F8" s="124"/>
      <c r="G8" s="679"/>
    </row>
    <row r="9" spans="1:7" ht="18">
      <c r="B9" s="678" t="s">
        <v>409</v>
      </c>
      <c r="C9" s="669">
        <v>20</v>
      </c>
      <c r="D9" s="669" t="s">
        <v>400</v>
      </c>
      <c r="E9" s="669" t="s">
        <v>410</v>
      </c>
      <c r="F9" s="124"/>
      <c r="G9" s="679"/>
    </row>
    <row r="10" spans="1:7" ht="15.6">
      <c r="B10" s="678"/>
      <c r="C10" s="669"/>
      <c r="D10" s="669"/>
      <c r="E10" s="669"/>
      <c r="F10" s="124"/>
      <c r="G10" s="679"/>
    </row>
    <row r="11" spans="1:7" ht="15.6">
      <c r="B11" s="680" t="s">
        <v>411</v>
      </c>
      <c r="C11" s="669"/>
      <c r="D11" s="669"/>
      <c r="E11" s="669"/>
      <c r="F11" s="124"/>
      <c r="G11" s="679"/>
    </row>
    <row r="12" spans="1:7" ht="15.6">
      <c r="B12" s="678" t="s">
        <v>54</v>
      </c>
      <c r="C12" s="669">
        <v>310</v>
      </c>
      <c r="D12" s="669" t="s">
        <v>400</v>
      </c>
      <c r="E12" s="669"/>
      <c r="F12" s="670">
        <v>19200</v>
      </c>
      <c r="G12" s="679">
        <v>63</v>
      </c>
    </row>
    <row r="13" spans="1:7" ht="15.6">
      <c r="B13" s="678" t="s">
        <v>412</v>
      </c>
      <c r="C13" s="669">
        <v>590</v>
      </c>
      <c r="D13" s="669" t="s">
        <v>400</v>
      </c>
      <c r="E13" s="669"/>
      <c r="F13" s="670">
        <v>25600</v>
      </c>
      <c r="G13" s="679">
        <v>43</v>
      </c>
    </row>
    <row r="14" spans="1:7" ht="15.6">
      <c r="B14" s="678" t="s">
        <v>2</v>
      </c>
      <c r="C14" s="669">
        <v>570</v>
      </c>
      <c r="D14" s="669" t="s">
        <v>400</v>
      </c>
      <c r="E14" s="669"/>
      <c r="F14" s="670">
        <v>100000</v>
      </c>
      <c r="G14" s="679">
        <v>172</v>
      </c>
    </row>
    <row r="15" spans="1:7" ht="15.6">
      <c r="B15" s="678" t="s">
        <v>413</v>
      </c>
      <c r="C15" s="669">
        <v>150</v>
      </c>
      <c r="D15" s="669" t="s">
        <v>420</v>
      </c>
      <c r="E15" s="669"/>
      <c r="F15" s="124"/>
      <c r="G15" s="679"/>
    </row>
    <row r="16" spans="1:7" ht="15.6">
      <c r="B16" s="678" t="s">
        <v>414</v>
      </c>
      <c r="C16" s="1000">
        <v>200</v>
      </c>
      <c r="D16" s="669" t="s">
        <v>421</v>
      </c>
      <c r="E16" s="1000"/>
      <c r="F16" s="124"/>
      <c r="G16" s="679"/>
    </row>
    <row r="17" spans="2:7" ht="15.6">
      <c r="B17" s="678" t="s">
        <v>415</v>
      </c>
      <c r="C17" s="1000"/>
      <c r="D17" s="669"/>
      <c r="E17" s="1000"/>
      <c r="F17" s="124"/>
      <c r="G17" s="679"/>
    </row>
    <row r="18" spans="2:7" ht="15.6">
      <c r="B18" s="678"/>
      <c r="C18" s="669"/>
      <c r="D18" s="669"/>
      <c r="E18" s="669"/>
      <c r="F18" s="124"/>
      <c r="G18" s="679"/>
    </row>
    <row r="19" spans="2:7" ht="15.6">
      <c r="B19" s="678" t="s">
        <v>1893</v>
      </c>
      <c r="C19" s="669"/>
      <c r="D19" s="669"/>
      <c r="E19" s="669"/>
      <c r="F19" s="124"/>
      <c r="G19" s="679"/>
    </row>
    <row r="20" spans="2:7" ht="15.6">
      <c r="B20" s="678" t="s">
        <v>10</v>
      </c>
      <c r="C20" s="669">
        <v>3.4</v>
      </c>
      <c r="D20" s="669" t="s">
        <v>1894</v>
      </c>
      <c r="E20" s="669"/>
      <c r="F20" s="124">
        <v>67</v>
      </c>
      <c r="G20" s="679">
        <v>196</v>
      </c>
    </row>
    <row r="21" spans="2:7" ht="15.6">
      <c r="B21" s="678" t="s">
        <v>9</v>
      </c>
      <c r="C21" s="669">
        <v>100</v>
      </c>
      <c r="D21" s="669" t="s">
        <v>1894</v>
      </c>
      <c r="E21" s="669"/>
      <c r="F21" s="670">
        <v>11400</v>
      </c>
      <c r="G21" s="679">
        <v>118</v>
      </c>
    </row>
    <row r="22" spans="2:7" ht="15.6">
      <c r="B22" s="678" t="s">
        <v>12</v>
      </c>
      <c r="C22" s="669">
        <v>1.7</v>
      </c>
      <c r="D22" s="669" t="s">
        <v>1894</v>
      </c>
      <c r="E22" s="669"/>
      <c r="F22" s="670">
        <v>63</v>
      </c>
      <c r="G22" s="679">
        <v>36</v>
      </c>
    </row>
    <row r="23" spans="2:7" ht="15.6">
      <c r="B23" s="678" t="s">
        <v>33</v>
      </c>
      <c r="C23" s="669">
        <v>0.75</v>
      </c>
      <c r="D23" s="669" t="s">
        <v>1894</v>
      </c>
      <c r="E23" s="669"/>
      <c r="F23" s="670">
        <v>79</v>
      </c>
      <c r="G23" s="679">
        <v>106</v>
      </c>
    </row>
    <row r="24" spans="2:7" ht="15.6">
      <c r="B24" s="678" t="s">
        <v>14</v>
      </c>
      <c r="C24" s="669">
        <v>1.8</v>
      </c>
      <c r="D24" s="669" t="s">
        <v>1894</v>
      </c>
      <c r="E24" s="669"/>
      <c r="F24" s="670">
        <v>149</v>
      </c>
      <c r="G24" s="679">
        <v>83</v>
      </c>
    </row>
    <row r="25" spans="2:7" ht="15.6">
      <c r="B25" s="678" t="s">
        <v>13</v>
      </c>
      <c r="C25" s="669">
        <v>0.18</v>
      </c>
      <c r="D25" s="669" t="s">
        <v>1894</v>
      </c>
      <c r="E25" s="669"/>
      <c r="F25" s="670">
        <v>9</v>
      </c>
      <c r="G25" s="679">
        <v>53</v>
      </c>
    </row>
    <row r="26" spans="2:7" ht="15.6">
      <c r="B26" s="678"/>
      <c r="C26" s="669"/>
      <c r="D26" s="669"/>
      <c r="E26" s="669"/>
      <c r="F26" s="124"/>
      <c r="G26" s="679"/>
    </row>
    <row r="27" spans="2:7" ht="15.6">
      <c r="B27" s="680" t="s">
        <v>416</v>
      </c>
      <c r="C27" s="669"/>
      <c r="D27" s="669"/>
      <c r="E27" s="669"/>
      <c r="F27" s="124"/>
      <c r="G27" s="679"/>
    </row>
    <row r="28" spans="2:7" ht="15.6">
      <c r="B28" s="678" t="s">
        <v>417</v>
      </c>
      <c r="C28" s="671">
        <v>1350</v>
      </c>
      <c r="D28" s="671" t="s">
        <v>400</v>
      </c>
      <c r="E28" s="669"/>
      <c r="F28" s="124"/>
      <c r="G28" s="679"/>
    </row>
    <row r="29" spans="2:7" ht="15.6">
      <c r="B29" s="678" t="s">
        <v>418</v>
      </c>
      <c r="C29" s="669">
        <v>350</v>
      </c>
      <c r="D29" s="669" t="s">
        <v>400</v>
      </c>
      <c r="E29" s="669"/>
      <c r="F29" s="124"/>
      <c r="G29" s="679"/>
    </row>
    <row r="30" spans="2:7" ht="15.6">
      <c r="B30" s="678"/>
      <c r="C30" s="669"/>
      <c r="D30" s="669"/>
      <c r="E30" s="669"/>
      <c r="F30" s="124"/>
      <c r="G30" s="679"/>
    </row>
    <row r="31" spans="2:7" ht="16.2" thickBot="1">
      <c r="B31" s="681"/>
      <c r="C31" s="682"/>
      <c r="D31" s="682"/>
      <c r="E31" s="682"/>
      <c r="F31" s="683"/>
      <c r="G31" s="684"/>
    </row>
    <row r="34" spans="2:2">
      <c r="B34" s="685" t="s">
        <v>1895</v>
      </c>
    </row>
  </sheetData>
  <mergeCells count="2">
    <mergeCell ref="C16:C17"/>
    <mergeCell ref="E16:E17"/>
  </mergeCells>
  <phoneticPr fontId="2" type="noConversion"/>
  <hyperlinks>
    <hyperlink ref="A1" location="'About og Fane-Link'!A1" display="Til Forsiden" xr:uid="{00000000-0004-0000-1300-000000000000}"/>
  </hyperlinks>
  <pageMargins left="0.75" right="0.75" top="1" bottom="1" header="0" footer="0"/>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60"/>
  </sheetPr>
  <dimension ref="B2:E13"/>
  <sheetViews>
    <sheetView workbookViewId="0">
      <selection activeCell="P5" sqref="P5"/>
    </sheetView>
  </sheetViews>
  <sheetFormatPr defaultRowHeight="13.2"/>
  <cols>
    <col min="2" max="2" width="19.5546875" bestFit="1" customWidth="1"/>
    <col min="3" max="3" width="36.109375" bestFit="1" customWidth="1"/>
    <col min="4" max="4" width="11.88671875" bestFit="1" customWidth="1"/>
  </cols>
  <sheetData>
    <row r="2" spans="2:5" ht="13.8" thickBot="1"/>
    <row r="3" spans="2:5" ht="13.8" thickBot="1">
      <c r="B3" s="109" t="s">
        <v>96</v>
      </c>
      <c r="C3" s="110" t="s">
        <v>97</v>
      </c>
      <c r="D3" s="110" t="s">
        <v>98</v>
      </c>
      <c r="E3" s="111" t="s">
        <v>99</v>
      </c>
    </row>
    <row r="4" spans="2:5">
      <c r="B4" s="107"/>
      <c r="C4" s="100"/>
      <c r="D4" s="100"/>
      <c r="E4" s="108"/>
    </row>
    <row r="5" spans="2:5" ht="26.4">
      <c r="B5" s="75" t="s">
        <v>100</v>
      </c>
      <c r="C5" s="118" t="s">
        <v>101</v>
      </c>
      <c r="D5" s="87" t="s">
        <v>102</v>
      </c>
      <c r="E5" s="71" t="s">
        <v>103</v>
      </c>
    </row>
    <row r="6" spans="2:5" ht="26.4">
      <c r="B6" s="119" t="s">
        <v>104</v>
      </c>
      <c r="C6" s="70" t="s">
        <v>105</v>
      </c>
      <c r="D6" s="87">
        <v>30</v>
      </c>
      <c r="E6" s="71" t="s">
        <v>50</v>
      </c>
    </row>
    <row r="7" spans="2:5" ht="26.4">
      <c r="B7" s="119" t="s">
        <v>106</v>
      </c>
      <c r="C7" s="70" t="s">
        <v>107</v>
      </c>
      <c r="D7" s="87">
        <v>10</v>
      </c>
      <c r="E7" s="71" t="s">
        <v>108</v>
      </c>
    </row>
    <row r="8" spans="2:5" ht="26.4">
      <c r="B8" s="119" t="s">
        <v>109</v>
      </c>
      <c r="C8" s="118" t="s">
        <v>110</v>
      </c>
      <c r="D8" s="87">
        <v>30</v>
      </c>
      <c r="E8" s="71" t="s">
        <v>50</v>
      </c>
    </row>
    <row r="9" spans="2:5" ht="26.4">
      <c r="B9" s="119" t="s">
        <v>111</v>
      </c>
      <c r="C9" s="70" t="s">
        <v>112</v>
      </c>
      <c r="D9" s="87" t="s">
        <v>113</v>
      </c>
      <c r="E9" s="71" t="s">
        <v>50</v>
      </c>
    </row>
    <row r="10" spans="2:5" ht="26.4">
      <c r="B10" s="119" t="s">
        <v>114</v>
      </c>
      <c r="C10" s="118" t="s">
        <v>115</v>
      </c>
      <c r="D10" s="895" t="s">
        <v>116</v>
      </c>
      <c r="E10" s="71" t="s">
        <v>50</v>
      </c>
    </row>
    <row r="11" spans="2:5">
      <c r="B11" s="119" t="s">
        <v>117</v>
      </c>
      <c r="C11" s="70" t="s">
        <v>118</v>
      </c>
      <c r="D11" s="87">
        <v>1</v>
      </c>
      <c r="E11" s="71" t="s">
        <v>103</v>
      </c>
    </row>
    <row r="12" spans="2:5" ht="26.4">
      <c r="B12" s="119" t="s">
        <v>119</v>
      </c>
      <c r="C12" s="118" t="s">
        <v>120</v>
      </c>
      <c r="D12" s="87">
        <v>0.7</v>
      </c>
      <c r="E12" s="71" t="s">
        <v>103</v>
      </c>
    </row>
    <row r="13" spans="2:5" ht="13.8" thickBot="1">
      <c r="B13" s="120" t="s">
        <v>122</v>
      </c>
      <c r="C13" s="121" t="s">
        <v>85</v>
      </c>
      <c r="D13" s="896" t="s">
        <v>121</v>
      </c>
      <c r="E13" s="74" t="s">
        <v>50</v>
      </c>
    </row>
  </sheetData>
  <phoneticPr fontId="2" type="noConversion"/>
  <printOptions gridLines="1"/>
  <pageMargins left="0.75" right="0.75" top="1" bottom="1" header="0" footer="0"/>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176"/>
  <sheetViews>
    <sheetView workbookViewId="0"/>
  </sheetViews>
  <sheetFormatPr defaultRowHeight="13.2"/>
  <cols>
    <col min="1" max="1" width="7" customWidth="1"/>
    <col min="2" max="2" width="8.5546875" style="209" customWidth="1"/>
    <col min="3" max="3" width="34.33203125" customWidth="1"/>
    <col min="4" max="5" width="10.44140625" customWidth="1"/>
    <col min="6" max="6" width="11.33203125" customWidth="1"/>
    <col min="7" max="7" width="10.109375" customWidth="1"/>
    <col min="8" max="8" width="10.6640625" customWidth="1"/>
    <col min="9" max="9" width="10" customWidth="1"/>
    <col min="11" max="11" width="10.109375" customWidth="1"/>
    <col min="13" max="13" width="10.6640625" customWidth="1"/>
  </cols>
  <sheetData>
    <row r="1" spans="1:13" ht="15.6">
      <c r="A1" s="44" t="s">
        <v>2527</v>
      </c>
      <c r="B1" s="159"/>
      <c r="C1" s="108"/>
      <c r="D1" s="100"/>
      <c r="E1" s="160" t="s">
        <v>937</v>
      </c>
      <c r="F1" s="161"/>
      <c r="G1" s="161"/>
      <c r="H1" s="161"/>
      <c r="I1" s="161"/>
      <c r="J1" s="161"/>
      <c r="K1" s="161"/>
      <c r="L1" s="161"/>
      <c r="M1" s="162"/>
    </row>
    <row r="2" spans="1:13" ht="51.75" customHeight="1" thickBot="1">
      <c r="A2" s="76"/>
      <c r="B2" s="163" t="s">
        <v>938</v>
      </c>
      <c r="C2" s="74"/>
      <c r="D2" s="164" t="s">
        <v>939</v>
      </c>
      <c r="E2" s="164" t="s">
        <v>940</v>
      </c>
      <c r="F2" s="164" t="s">
        <v>941</v>
      </c>
      <c r="G2" s="164" t="s">
        <v>942</v>
      </c>
      <c r="H2" s="164" t="s">
        <v>943</v>
      </c>
      <c r="I2" s="164" t="s">
        <v>944</v>
      </c>
      <c r="J2" s="164" t="s">
        <v>945</v>
      </c>
      <c r="K2" s="164" t="s">
        <v>946</v>
      </c>
      <c r="L2" s="164" t="s">
        <v>947</v>
      </c>
      <c r="M2" s="165" t="s">
        <v>948</v>
      </c>
    </row>
    <row r="3" spans="1:13">
      <c r="A3" s="107"/>
      <c r="B3" s="166"/>
      <c r="C3" s="100"/>
      <c r="D3" s="167"/>
      <c r="E3" s="168"/>
      <c r="F3" s="168"/>
      <c r="G3" s="168"/>
      <c r="H3" s="168"/>
      <c r="I3" s="168"/>
      <c r="J3" s="168"/>
      <c r="K3" s="168"/>
      <c r="L3" s="168"/>
      <c r="M3" s="169"/>
    </row>
    <row r="4" spans="1:13" ht="15.6">
      <c r="A4" s="170" t="s">
        <v>949</v>
      </c>
      <c r="B4" s="171"/>
      <c r="C4" s="70"/>
      <c r="D4" s="172"/>
      <c r="E4" s="173"/>
      <c r="F4" s="173"/>
      <c r="G4" s="173"/>
      <c r="H4" s="173"/>
      <c r="I4" s="173"/>
      <c r="J4" s="173"/>
      <c r="K4" s="173"/>
      <c r="L4" s="173"/>
      <c r="M4" s="174"/>
    </row>
    <row r="5" spans="1:13" ht="12.75" customHeight="1">
      <c r="A5" s="170"/>
      <c r="B5" s="171"/>
      <c r="C5" s="70"/>
      <c r="D5" s="172"/>
      <c r="E5" s="173"/>
      <c r="F5" s="173"/>
      <c r="G5" s="173"/>
      <c r="H5" s="173"/>
      <c r="I5" s="173"/>
      <c r="J5" s="173"/>
      <c r="K5" s="173"/>
      <c r="L5" s="173"/>
      <c r="M5" s="174"/>
    </row>
    <row r="6" spans="1:13" ht="12.75" customHeight="1">
      <c r="A6" s="170"/>
      <c r="B6" s="175" t="s">
        <v>479</v>
      </c>
      <c r="C6" s="70"/>
      <c r="D6" s="172"/>
      <c r="E6" s="173"/>
      <c r="F6" s="173"/>
      <c r="G6" s="173"/>
      <c r="H6" s="173"/>
      <c r="I6" s="173"/>
      <c r="J6" s="173"/>
      <c r="K6" s="173"/>
      <c r="L6" s="173"/>
      <c r="M6" s="174"/>
    </row>
    <row r="7" spans="1:13">
      <c r="A7" s="176" t="s">
        <v>950</v>
      </c>
      <c r="B7" s="171"/>
      <c r="C7" s="70" t="s">
        <v>951</v>
      </c>
      <c r="D7" s="172">
        <v>1.1829448679256719E-12</v>
      </c>
      <c r="E7" s="173">
        <v>1.3622083332111286E-10</v>
      </c>
      <c r="F7" s="173"/>
      <c r="G7" s="173"/>
      <c r="H7" s="173"/>
      <c r="I7" s="173">
        <v>3.5488346037770159E-12</v>
      </c>
      <c r="J7" s="173"/>
      <c r="K7" s="173"/>
      <c r="L7" s="173">
        <v>1.1829448679256719E-12</v>
      </c>
      <c r="M7" s="174">
        <v>1.3012393547182391E-11</v>
      </c>
    </row>
    <row r="8" spans="1:13">
      <c r="A8" s="176" t="s">
        <v>950</v>
      </c>
      <c r="B8" s="171"/>
      <c r="C8" s="70" t="s">
        <v>952</v>
      </c>
      <c r="D8" s="172">
        <v>1.280708906597215E-12</v>
      </c>
      <c r="E8" s="173">
        <v>1.4747875343029575E-10</v>
      </c>
      <c r="F8" s="173"/>
      <c r="G8" s="173"/>
      <c r="H8" s="173"/>
      <c r="I8" s="173">
        <v>3.8421267197916456E-12</v>
      </c>
      <c r="J8" s="173"/>
      <c r="K8" s="173"/>
      <c r="L8" s="173">
        <v>1.280708906597215E-12</v>
      </c>
      <c r="M8" s="174">
        <v>1.4087797972569366E-11</v>
      </c>
    </row>
    <row r="9" spans="1:13" ht="12.75" customHeight="1">
      <c r="A9" s="176"/>
      <c r="B9" s="171"/>
      <c r="C9" s="70" t="s">
        <v>953</v>
      </c>
      <c r="D9" s="172">
        <v>4.4403805046081854E-8</v>
      </c>
      <c r="E9" s="173">
        <v>7.7666097662572299E-6</v>
      </c>
      <c r="F9" s="173"/>
      <c r="G9" s="173"/>
      <c r="H9" s="70"/>
      <c r="I9" s="173" t="s">
        <v>954</v>
      </c>
      <c r="J9" s="173"/>
      <c r="K9" s="173"/>
      <c r="L9" s="173"/>
      <c r="M9" s="174"/>
    </row>
    <row r="10" spans="1:13">
      <c r="A10" s="75"/>
      <c r="B10" s="171">
        <v>401000</v>
      </c>
      <c r="C10" s="71" t="s">
        <v>955</v>
      </c>
      <c r="D10" s="172">
        <v>8.3378496685704744E-12</v>
      </c>
      <c r="E10" s="173">
        <v>8.5796473089590193E-9</v>
      </c>
      <c r="F10" s="173">
        <v>6.6702797348563795E-11</v>
      </c>
      <c r="G10" s="173">
        <v>2.5013549005711426E-11</v>
      </c>
      <c r="H10" s="173">
        <v>1.6675699337140949E-11</v>
      </c>
      <c r="I10" s="173">
        <v>6.5869012381706748E-10</v>
      </c>
      <c r="J10" s="173">
        <v>1.6675699337140951E-10</v>
      </c>
      <c r="K10" s="173">
        <v>1.6675699337140949E-11</v>
      </c>
      <c r="L10" s="173">
        <v>5.8364947679993334E-11</v>
      </c>
      <c r="M10" s="174">
        <v>7.0871722182849033E-10</v>
      </c>
    </row>
    <row r="11" spans="1:13">
      <c r="A11" s="177" t="s">
        <v>956</v>
      </c>
      <c r="B11" s="178"/>
      <c r="C11" s="140" t="s">
        <v>957</v>
      </c>
      <c r="D11" s="179">
        <v>1.2356151469928803E-11</v>
      </c>
      <c r="E11" s="180">
        <v>9.281301496515504E-9</v>
      </c>
      <c r="F11" s="180">
        <v>6.6702797348563795E-11</v>
      </c>
      <c r="G11" s="180">
        <v>2.5013549005711426E-11</v>
      </c>
      <c r="H11" s="180">
        <v>1.6675699337140949E-11</v>
      </c>
      <c r="I11" s="180">
        <v>6.587494449506005E-10</v>
      </c>
      <c r="J11" s="180">
        <v>1.6675699337140951E-10</v>
      </c>
      <c r="K11" s="180">
        <v>1.6675699337140949E-11</v>
      </c>
      <c r="L11" s="180">
        <v>5.8384721391171011E-11</v>
      </c>
      <c r="M11" s="181">
        <v>7.0893473265144477E-10</v>
      </c>
    </row>
    <row r="12" spans="1:13" ht="12.75" customHeight="1">
      <c r="A12" s="176"/>
      <c r="B12" s="171"/>
      <c r="C12" s="70"/>
      <c r="D12" s="172"/>
      <c r="E12" s="173"/>
      <c r="F12" s="173"/>
      <c r="G12" s="173"/>
      <c r="H12" s="70"/>
      <c r="I12" s="173"/>
      <c r="J12" s="173"/>
      <c r="K12" s="173"/>
      <c r="L12" s="173"/>
      <c r="M12" s="174"/>
    </row>
    <row r="13" spans="1:13" ht="12.75" customHeight="1">
      <c r="A13" s="176"/>
      <c r="B13" s="175" t="s">
        <v>958</v>
      </c>
      <c r="C13" s="70"/>
      <c r="D13" s="172"/>
      <c r="E13" s="173"/>
      <c r="F13" s="173"/>
      <c r="G13" s="173"/>
      <c r="H13" s="70"/>
      <c r="I13" s="173"/>
      <c r="J13" s="173"/>
      <c r="K13" s="173"/>
      <c r="L13" s="173"/>
      <c r="M13" s="174"/>
    </row>
    <row r="14" spans="1:13">
      <c r="A14" s="75"/>
      <c r="B14" s="171">
        <v>271000</v>
      </c>
      <c r="C14" s="70" t="s">
        <v>959</v>
      </c>
      <c r="D14" s="172">
        <v>0</v>
      </c>
      <c r="E14" s="173">
        <v>1.5676589214231592E-4</v>
      </c>
      <c r="F14" s="173">
        <v>0</v>
      </c>
      <c r="G14" s="173">
        <v>1.8335192063428763E-6</v>
      </c>
      <c r="H14" s="173">
        <v>2.0168711269771638E-5</v>
      </c>
      <c r="I14" s="173">
        <v>2.1543850674528798E-5</v>
      </c>
      <c r="J14" s="173">
        <v>2.7502788095143144E-6</v>
      </c>
      <c r="K14" s="173">
        <v>0</v>
      </c>
      <c r="L14" s="173">
        <v>4.5837980158571907E-7</v>
      </c>
      <c r="M14" s="174">
        <v>1.6501672857085888E-5</v>
      </c>
    </row>
    <row r="15" spans="1:13">
      <c r="A15" s="75" t="s">
        <v>960</v>
      </c>
      <c r="B15" s="171">
        <v>271000</v>
      </c>
      <c r="C15" s="70" t="s">
        <v>961</v>
      </c>
      <c r="D15" s="172">
        <v>2.0228992191609019E-7</v>
      </c>
      <c r="E15" s="173">
        <v>1.1104359206032072E-4</v>
      </c>
      <c r="F15" s="173"/>
      <c r="G15" s="173"/>
      <c r="H15" s="173"/>
      <c r="I15" s="182" t="s">
        <v>962</v>
      </c>
      <c r="J15" s="173"/>
      <c r="K15" s="173"/>
      <c r="L15" s="173"/>
      <c r="M15" s="174"/>
    </row>
    <row r="16" spans="1:13">
      <c r="A16" s="75"/>
      <c r="B16" s="171">
        <v>274200</v>
      </c>
      <c r="C16" s="70" t="s">
        <v>10</v>
      </c>
      <c r="D16" s="172">
        <v>0</v>
      </c>
      <c r="E16" s="173">
        <v>7.5334628274511238E-4</v>
      </c>
      <c r="F16" s="173">
        <v>4.0721420688924992E-6</v>
      </c>
      <c r="G16" s="173">
        <v>4.0721420688924992E-6</v>
      </c>
      <c r="H16" s="173">
        <v>1.2216426206677499E-5</v>
      </c>
      <c r="I16" s="173">
        <v>4.4793562757817495E-5</v>
      </c>
      <c r="J16" s="173">
        <v>1.2216426206677499E-5</v>
      </c>
      <c r="K16" s="173">
        <v>8.1442841377849984E-6</v>
      </c>
      <c r="L16" s="173">
        <v>1.2216426206677499E-5</v>
      </c>
      <c r="M16" s="174">
        <v>1.4659711448012999E-4</v>
      </c>
    </row>
    <row r="17" spans="1:13">
      <c r="A17" s="75"/>
      <c r="B17" s="171">
        <v>274300</v>
      </c>
      <c r="C17" s="70" t="s">
        <v>963</v>
      </c>
      <c r="D17" s="172">
        <v>0</v>
      </c>
      <c r="E17" s="173">
        <v>1.4014234353217404E-2</v>
      </c>
      <c r="F17" s="173">
        <v>0</v>
      </c>
      <c r="G17" s="173">
        <v>7.3372954728886933E-5</v>
      </c>
      <c r="H17" s="173">
        <v>1.4674590945777387E-4</v>
      </c>
      <c r="I17" s="173">
        <v>2.2011886418666079E-4</v>
      </c>
      <c r="J17" s="173">
        <v>0</v>
      </c>
      <c r="K17" s="173">
        <v>7.3372954728886933E-5</v>
      </c>
      <c r="L17" s="173">
        <v>7.3372954728886933E-5</v>
      </c>
      <c r="M17" s="174">
        <v>4.4023772837332157E-4</v>
      </c>
    </row>
    <row r="18" spans="1:13">
      <c r="A18" s="75"/>
      <c r="B18" s="171">
        <v>274400</v>
      </c>
      <c r="C18" s="70" t="s">
        <v>964</v>
      </c>
      <c r="D18" s="172">
        <v>0</v>
      </c>
      <c r="E18" s="173">
        <v>2.8735632183908046E-3</v>
      </c>
      <c r="F18" s="173">
        <v>0</v>
      </c>
      <c r="G18" s="173">
        <v>0</v>
      </c>
      <c r="H18" s="173">
        <v>0</v>
      </c>
      <c r="I18" s="173">
        <v>0</v>
      </c>
      <c r="J18" s="173">
        <v>0</v>
      </c>
      <c r="K18" s="173">
        <v>0</v>
      </c>
      <c r="L18" s="173">
        <v>0</v>
      </c>
      <c r="M18" s="174">
        <v>7.1839080459770114E-4</v>
      </c>
    </row>
    <row r="19" spans="1:13">
      <c r="A19" s="176" t="s">
        <v>965</v>
      </c>
      <c r="B19" s="171"/>
      <c r="C19" s="70" t="s">
        <v>12</v>
      </c>
      <c r="D19" s="172"/>
      <c r="E19" s="173">
        <v>5.9704983142127178E-4</v>
      </c>
      <c r="F19" s="173"/>
      <c r="G19" s="173"/>
      <c r="H19" s="173"/>
      <c r="I19" s="173" t="s">
        <v>966</v>
      </c>
      <c r="J19" s="173"/>
      <c r="K19" s="173"/>
      <c r="L19" s="173"/>
      <c r="M19" s="174"/>
    </row>
    <row r="20" spans="1:13">
      <c r="A20" s="176" t="s">
        <v>965</v>
      </c>
      <c r="B20" s="171"/>
      <c r="C20" s="70" t="s">
        <v>967</v>
      </c>
      <c r="D20" s="172">
        <v>3.1809313767071E-5</v>
      </c>
      <c r="E20" s="173">
        <v>1.8756756756756756E-3</v>
      </c>
      <c r="F20" s="173"/>
      <c r="G20" s="173"/>
      <c r="H20" s="173"/>
      <c r="I20" s="173" t="s">
        <v>954</v>
      </c>
      <c r="J20" s="173"/>
      <c r="K20" s="173"/>
      <c r="L20" s="173"/>
      <c r="M20" s="174"/>
    </row>
    <row r="21" spans="1:13">
      <c r="A21" s="183" t="s">
        <v>965</v>
      </c>
      <c r="B21" s="178"/>
      <c r="C21" s="140" t="s">
        <v>21</v>
      </c>
      <c r="D21" s="179">
        <v>5.9757236227824459E-2</v>
      </c>
      <c r="E21" s="180">
        <v>3.839955182072829</v>
      </c>
      <c r="F21" s="180"/>
      <c r="G21" s="180"/>
      <c r="H21" s="180"/>
      <c r="I21" s="180" t="s">
        <v>954</v>
      </c>
      <c r="J21" s="180"/>
      <c r="K21" s="180"/>
      <c r="L21" s="180"/>
      <c r="M21" s="181"/>
    </row>
    <row r="22" spans="1:13">
      <c r="A22" s="176"/>
      <c r="B22" s="171"/>
      <c r="C22" s="70"/>
      <c r="D22" s="172"/>
      <c r="E22" s="173"/>
      <c r="F22" s="173"/>
      <c r="G22" s="173"/>
      <c r="H22" s="173"/>
      <c r="I22" s="173"/>
      <c r="J22" s="173"/>
      <c r="K22" s="173"/>
      <c r="L22" s="173"/>
      <c r="M22" s="174"/>
    </row>
    <row r="23" spans="1:13" ht="12.75" customHeight="1">
      <c r="A23" s="170"/>
      <c r="B23" s="175" t="s">
        <v>968</v>
      </c>
      <c r="C23" s="70"/>
      <c r="D23" s="172"/>
      <c r="E23" s="173"/>
      <c r="F23" s="173"/>
      <c r="G23" s="173"/>
      <c r="H23" s="173"/>
      <c r="I23" s="173"/>
      <c r="J23" s="173"/>
      <c r="K23" s="173"/>
      <c r="L23" s="173"/>
      <c r="M23" s="174"/>
    </row>
    <row r="24" spans="1:13">
      <c r="A24" s="75"/>
      <c r="B24" s="171">
        <v>141200</v>
      </c>
      <c r="C24" s="70" t="s">
        <v>969</v>
      </c>
      <c r="D24" s="172">
        <v>2.274060182093095E-7</v>
      </c>
      <c r="E24" s="173">
        <v>9.5510527647909993E-6</v>
      </c>
      <c r="F24" s="173">
        <v>0</v>
      </c>
      <c r="G24" s="173">
        <v>0</v>
      </c>
      <c r="H24" s="173">
        <v>0</v>
      </c>
      <c r="I24" s="173">
        <v>2.274060182093095E-7</v>
      </c>
      <c r="J24" s="173">
        <v>0</v>
      </c>
      <c r="K24" s="173">
        <v>2.274060182093095E-7</v>
      </c>
      <c r="L24" s="173">
        <v>0</v>
      </c>
      <c r="M24" s="174">
        <v>2.274060182093095E-7</v>
      </c>
    </row>
    <row r="25" spans="1:13">
      <c r="A25" s="75"/>
      <c r="B25" s="171">
        <v>142100</v>
      </c>
      <c r="C25" s="70" t="s">
        <v>970</v>
      </c>
      <c r="D25" s="172">
        <v>0</v>
      </c>
      <c r="E25" s="173">
        <v>2.4038166014305182E-6</v>
      </c>
      <c r="F25" s="173">
        <v>0</v>
      </c>
      <c r="G25" s="173">
        <v>0</v>
      </c>
      <c r="H25" s="173">
        <v>2.2893491442195409E-8</v>
      </c>
      <c r="I25" s="173">
        <v>1.602544400953679E-7</v>
      </c>
      <c r="J25" s="173">
        <v>1.1446745721097705E-7</v>
      </c>
      <c r="K25" s="173">
        <v>2.2893491442195409E-8</v>
      </c>
      <c r="L25" s="173">
        <v>4.5786982884390818E-8</v>
      </c>
      <c r="M25" s="174">
        <v>1.602544400953679E-7</v>
      </c>
    </row>
    <row r="26" spans="1:13">
      <c r="A26" s="75"/>
      <c r="B26" s="171">
        <v>201010</v>
      </c>
      <c r="C26" s="70" t="s">
        <v>971</v>
      </c>
      <c r="D26" s="172">
        <v>8.740899630871808E-7</v>
      </c>
      <c r="E26" s="173">
        <v>2.2114476066105673E-4</v>
      </c>
      <c r="F26" s="173">
        <v>8.740899630871808E-7</v>
      </c>
      <c r="G26" s="173">
        <v>8.740899630871808E-7</v>
      </c>
      <c r="H26" s="173">
        <v>3.4963598523487232E-6</v>
      </c>
      <c r="I26" s="173">
        <v>1.8355889224830799E-5</v>
      </c>
      <c r="J26" s="173">
        <v>1.7481799261743616E-6</v>
      </c>
      <c r="K26" s="173">
        <v>2.6222698892615424E-6</v>
      </c>
      <c r="L26" s="173">
        <v>1.7481799261743616E-6</v>
      </c>
      <c r="M26" s="174">
        <v>2.6222698892615426E-5</v>
      </c>
    </row>
    <row r="27" spans="1:13">
      <c r="A27" s="75"/>
      <c r="B27" s="171">
        <v>211200</v>
      </c>
      <c r="C27" s="70" t="s">
        <v>972</v>
      </c>
      <c r="D27" s="172">
        <v>9.2116656533834447E-7</v>
      </c>
      <c r="E27" s="173">
        <v>1.5659831610751856E-4</v>
      </c>
      <c r="F27" s="173">
        <v>0</v>
      </c>
      <c r="G27" s="173">
        <v>1.8423331306766889E-6</v>
      </c>
      <c r="H27" s="173">
        <v>9.2116656533834447E-7</v>
      </c>
      <c r="I27" s="173">
        <v>2.7634996960150333E-5</v>
      </c>
      <c r="J27" s="173">
        <v>9.2116656533834447E-7</v>
      </c>
      <c r="K27" s="173">
        <v>9.2116656533834447E-7</v>
      </c>
      <c r="L27" s="173">
        <v>1.8423331306766889E-6</v>
      </c>
      <c r="M27" s="174">
        <v>1.4738665045413511E-5</v>
      </c>
    </row>
    <row r="28" spans="1:13">
      <c r="A28" s="75"/>
      <c r="B28" s="171">
        <v>212100</v>
      </c>
      <c r="C28" s="70" t="s">
        <v>973</v>
      </c>
      <c r="D28" s="172">
        <v>0</v>
      </c>
      <c r="E28" s="173">
        <v>4.8147708797074854E-4</v>
      </c>
      <c r="F28" s="173">
        <v>1.1629881351950448E-6</v>
      </c>
      <c r="G28" s="173">
        <v>1.1629881351950448E-6</v>
      </c>
      <c r="H28" s="173">
        <v>5.2334466083777016E-6</v>
      </c>
      <c r="I28" s="173">
        <v>1.918930423071824E-5</v>
      </c>
      <c r="J28" s="173">
        <v>1.1629881351950448E-6</v>
      </c>
      <c r="K28" s="173">
        <v>1.744482202792567E-6</v>
      </c>
      <c r="L28" s="173">
        <v>7.5594228787677907E-6</v>
      </c>
      <c r="M28" s="174">
        <v>6.2219865232934895E-5</v>
      </c>
    </row>
    <row r="29" spans="1:13">
      <c r="A29" s="75"/>
      <c r="B29" s="171">
        <v>212500</v>
      </c>
      <c r="C29" s="70" t="s">
        <v>974</v>
      </c>
      <c r="D29" s="172">
        <v>5.1424457471973664E-6</v>
      </c>
      <c r="E29" s="173">
        <v>9.9249202920909173E-4</v>
      </c>
      <c r="F29" s="173">
        <v>0</v>
      </c>
      <c r="G29" s="173">
        <v>1.5427337241592101E-5</v>
      </c>
      <c r="H29" s="173">
        <v>5.1424457471973664E-6</v>
      </c>
      <c r="I29" s="173">
        <v>8.7421577702355248E-5</v>
      </c>
      <c r="J29" s="173">
        <v>5.1424457471973664E-6</v>
      </c>
      <c r="K29" s="173">
        <v>5.1424457471973664E-6</v>
      </c>
      <c r="L29" s="173">
        <v>1.0284891494394733E-5</v>
      </c>
      <c r="M29" s="174">
        <v>1.1313380643834206E-4</v>
      </c>
    </row>
    <row r="30" spans="1:13">
      <c r="A30" s="75"/>
      <c r="B30" s="171">
        <v>265100</v>
      </c>
      <c r="C30" s="70" t="s">
        <v>975</v>
      </c>
      <c r="D30" s="172">
        <v>0</v>
      </c>
      <c r="E30" s="173">
        <v>1.5844603694535906E-5</v>
      </c>
      <c r="F30" s="173">
        <v>1.1824331115325302E-7</v>
      </c>
      <c r="G30" s="173">
        <v>0</v>
      </c>
      <c r="H30" s="173">
        <v>0</v>
      </c>
      <c r="I30" s="173">
        <v>3.0743260899845784E-6</v>
      </c>
      <c r="J30" s="173">
        <v>9.4594648922602417E-7</v>
      </c>
      <c r="K30" s="173">
        <v>1.1824331115325302E-7</v>
      </c>
      <c r="L30" s="173">
        <v>2.3648662230650604E-7</v>
      </c>
      <c r="M30" s="174">
        <v>1.0641898003792772E-6</v>
      </c>
    </row>
    <row r="31" spans="1:13" ht="13.8" thickBot="1">
      <c r="A31" s="76"/>
      <c r="B31" s="184">
        <v>266300</v>
      </c>
      <c r="C31" s="72" t="s">
        <v>976</v>
      </c>
      <c r="D31" s="185">
        <v>9.0504699456519268E-8</v>
      </c>
      <c r="E31" s="186">
        <v>6.6973477597824267E-6</v>
      </c>
      <c r="F31" s="186">
        <v>0</v>
      </c>
      <c r="G31" s="186">
        <v>0</v>
      </c>
      <c r="H31" s="186">
        <v>0</v>
      </c>
      <c r="I31" s="186">
        <v>6.3353289619563502E-7</v>
      </c>
      <c r="J31" s="186">
        <v>1.8100939891303854E-7</v>
      </c>
      <c r="K31" s="186">
        <v>9.0504699456519268E-8</v>
      </c>
      <c r="L31" s="186">
        <v>0</v>
      </c>
      <c r="M31" s="187">
        <v>3.6201879782607707E-7</v>
      </c>
    </row>
    <row r="32" spans="1:13">
      <c r="A32" s="107"/>
      <c r="B32" s="159"/>
      <c r="C32" s="108"/>
      <c r="D32" s="188"/>
      <c r="E32" s="188"/>
      <c r="F32" s="188"/>
      <c r="G32" s="188"/>
      <c r="H32" s="188"/>
      <c r="I32" s="188"/>
      <c r="J32" s="188"/>
      <c r="K32" s="188"/>
      <c r="L32" s="188"/>
      <c r="M32" s="189"/>
    </row>
    <row r="33" spans="1:13" ht="15.6">
      <c r="A33" s="170" t="s">
        <v>977</v>
      </c>
      <c r="B33" s="171"/>
      <c r="C33" s="71"/>
      <c r="D33" s="173"/>
      <c r="E33" s="173"/>
      <c r="F33" s="173"/>
      <c r="G33" s="173"/>
      <c r="H33" s="173"/>
      <c r="I33" s="173"/>
      <c r="J33" s="173"/>
      <c r="K33" s="173"/>
      <c r="L33" s="173"/>
      <c r="M33" s="174"/>
    </row>
    <row r="34" spans="1:13" ht="12.75" customHeight="1">
      <c r="A34" s="170"/>
      <c r="B34" s="171"/>
      <c r="C34" s="71"/>
      <c r="D34" s="173"/>
      <c r="E34" s="173"/>
      <c r="F34" s="173"/>
      <c r="G34" s="173"/>
      <c r="H34" s="173"/>
      <c r="I34" s="173"/>
      <c r="J34" s="173"/>
      <c r="K34" s="173"/>
      <c r="L34" s="173"/>
      <c r="M34" s="174"/>
    </row>
    <row r="35" spans="1:13" ht="15.6">
      <c r="A35" s="170"/>
      <c r="B35" s="190" t="s">
        <v>978</v>
      </c>
      <c r="C35" s="71"/>
      <c r="D35" s="173"/>
      <c r="E35" s="173"/>
      <c r="F35" s="173"/>
      <c r="G35" s="173"/>
      <c r="H35" s="173"/>
      <c r="I35" s="173"/>
      <c r="J35" s="173"/>
      <c r="K35" s="173"/>
      <c r="L35" s="173"/>
      <c r="M35" s="174"/>
    </row>
    <row r="36" spans="1:13">
      <c r="A36" s="75"/>
      <c r="B36" s="171">
        <v>202000</v>
      </c>
      <c r="C36" s="71" t="s">
        <v>979</v>
      </c>
      <c r="D36" s="173">
        <v>0</v>
      </c>
      <c r="E36" s="173">
        <v>2.7641757297078404E-4</v>
      </c>
      <c r="F36" s="173">
        <v>2.7641757297078401E-6</v>
      </c>
      <c r="G36" s="173">
        <v>0</v>
      </c>
      <c r="H36" s="173">
        <v>1.3820878648539201E-6</v>
      </c>
      <c r="I36" s="173">
        <v>6.9104393242696011E-6</v>
      </c>
      <c r="J36" s="173">
        <v>1.3820878648539201E-6</v>
      </c>
      <c r="K36" s="173">
        <v>4.146263594561761E-6</v>
      </c>
      <c r="L36" s="173">
        <v>5.5283514594156802E-6</v>
      </c>
      <c r="M36" s="174">
        <v>4.5608899540179365E-5</v>
      </c>
    </row>
    <row r="37" spans="1:13">
      <c r="A37" s="75"/>
      <c r="B37" s="171">
        <v>203020</v>
      </c>
      <c r="C37" s="71" t="s">
        <v>980</v>
      </c>
      <c r="D37" s="173">
        <v>0</v>
      </c>
      <c r="E37" s="173">
        <v>8.7998933859070557E-4</v>
      </c>
      <c r="F37" s="173">
        <v>2.1153589869968881E-6</v>
      </c>
      <c r="G37" s="173">
        <v>4.2307179739937762E-6</v>
      </c>
      <c r="H37" s="173">
        <v>7.0511966233229614E-6</v>
      </c>
      <c r="I37" s="173">
        <v>4.7243017376263834E-5</v>
      </c>
      <c r="J37" s="173">
        <v>4.2307179739937762E-6</v>
      </c>
      <c r="K37" s="173">
        <v>9.1665556103198491E-6</v>
      </c>
      <c r="L37" s="173">
        <v>1.8333111220639698E-5</v>
      </c>
      <c r="M37" s="174">
        <v>9.9421872388853752E-5</v>
      </c>
    </row>
    <row r="38" spans="1:13">
      <c r="A38" s="177"/>
      <c r="B38" s="178">
        <v>205190</v>
      </c>
      <c r="C38" s="191" t="s">
        <v>981</v>
      </c>
      <c r="D38" s="179">
        <v>0</v>
      </c>
      <c r="E38" s="180">
        <v>1.1841839239811686E-3</v>
      </c>
      <c r="F38" s="180">
        <v>7.220633682812003E-6</v>
      </c>
      <c r="G38" s="180">
        <v>0</v>
      </c>
      <c r="H38" s="180">
        <v>7.220633682812003E-6</v>
      </c>
      <c r="I38" s="180">
        <v>7.2206336828120035E-5</v>
      </c>
      <c r="J38" s="180">
        <v>0</v>
      </c>
      <c r="K38" s="180">
        <v>3.6103168414060018E-5</v>
      </c>
      <c r="L38" s="180">
        <v>3.6103168414060018E-5</v>
      </c>
      <c r="M38" s="181">
        <v>1.0830950524218005E-4</v>
      </c>
    </row>
    <row r="39" spans="1:13">
      <c r="A39" s="75"/>
      <c r="B39" s="171"/>
      <c r="C39" s="71"/>
      <c r="D39" s="173"/>
      <c r="E39" s="173"/>
      <c r="F39" s="173"/>
      <c r="G39" s="173"/>
      <c r="H39" s="173"/>
      <c r="I39" s="173"/>
      <c r="J39" s="173"/>
      <c r="K39" s="173"/>
      <c r="L39" s="173"/>
      <c r="M39" s="174"/>
    </row>
    <row r="40" spans="1:13">
      <c r="A40" s="75"/>
      <c r="B40" s="190" t="s">
        <v>982</v>
      </c>
      <c r="C40" s="71"/>
      <c r="D40" s="173"/>
      <c r="E40" s="173"/>
      <c r="F40" s="173"/>
      <c r="G40" s="173"/>
      <c r="H40" s="173"/>
      <c r="I40" s="173"/>
      <c r="J40" s="173"/>
      <c r="K40" s="173"/>
      <c r="L40" s="173"/>
      <c r="M40" s="174"/>
    </row>
    <row r="41" spans="1:13">
      <c r="A41" s="75"/>
      <c r="B41" s="171">
        <v>232000</v>
      </c>
      <c r="C41" s="71" t="s">
        <v>983</v>
      </c>
      <c r="D41" s="173">
        <v>0</v>
      </c>
      <c r="E41" s="173">
        <v>1.2479612850643087E-6</v>
      </c>
      <c r="F41" s="173">
        <v>3.7817008638312379E-8</v>
      </c>
      <c r="G41" s="173">
        <v>0</v>
      </c>
      <c r="H41" s="173">
        <v>7.5634017276624757E-8</v>
      </c>
      <c r="I41" s="173">
        <v>3.4035307774481141E-7</v>
      </c>
      <c r="J41" s="173">
        <v>3.7817008638312379E-8</v>
      </c>
      <c r="K41" s="173">
        <v>0</v>
      </c>
      <c r="L41" s="173">
        <v>0</v>
      </c>
      <c r="M41" s="174">
        <v>3.0253606910649903E-7</v>
      </c>
    </row>
    <row r="42" spans="1:13">
      <c r="A42" s="75" t="s">
        <v>984</v>
      </c>
      <c r="B42" s="171" t="s">
        <v>985</v>
      </c>
      <c r="C42" s="71" t="s">
        <v>986</v>
      </c>
      <c r="D42" s="173">
        <v>0</v>
      </c>
      <c r="E42" s="173">
        <v>9.8448075476857867E-5</v>
      </c>
      <c r="F42" s="173">
        <v>0</v>
      </c>
      <c r="G42" s="173">
        <v>9.1155625441535055E-7</v>
      </c>
      <c r="H42" s="173">
        <v>1.8231125088307011E-6</v>
      </c>
      <c r="I42" s="173">
        <v>2.7346687632460518E-6</v>
      </c>
      <c r="J42" s="173">
        <v>3.6462250176614022E-6</v>
      </c>
      <c r="K42" s="173">
        <v>0</v>
      </c>
      <c r="L42" s="173">
        <v>1.8231125088307011E-6</v>
      </c>
      <c r="M42" s="174">
        <v>6.3808937809074544E-6</v>
      </c>
    </row>
    <row r="43" spans="1:13">
      <c r="A43" s="75"/>
      <c r="B43" s="171">
        <v>241600</v>
      </c>
      <c r="C43" s="71" t="s">
        <v>987</v>
      </c>
      <c r="D43" s="173">
        <v>0</v>
      </c>
      <c r="E43" s="173">
        <v>2.7450581242925308E-4</v>
      </c>
      <c r="F43" s="173">
        <v>0</v>
      </c>
      <c r="G43" s="173">
        <v>6.168669942230406E-6</v>
      </c>
      <c r="H43" s="173">
        <v>0</v>
      </c>
      <c r="I43" s="173">
        <v>0</v>
      </c>
      <c r="J43" s="173">
        <v>0</v>
      </c>
      <c r="K43" s="173">
        <v>6.168669942230406E-6</v>
      </c>
      <c r="L43" s="173">
        <v>3.084334971115203E-6</v>
      </c>
      <c r="M43" s="174">
        <v>2.4674679768921624E-5</v>
      </c>
    </row>
    <row r="44" spans="1:13">
      <c r="A44" s="75"/>
      <c r="B44" s="171">
        <v>245110</v>
      </c>
      <c r="C44" s="71" t="s">
        <v>988</v>
      </c>
      <c r="D44" s="173">
        <v>0</v>
      </c>
      <c r="E44" s="173">
        <v>3.1410368887704681E-4</v>
      </c>
      <c r="F44" s="173">
        <v>0</v>
      </c>
      <c r="G44" s="173">
        <v>2.1662323370830812E-6</v>
      </c>
      <c r="H44" s="173">
        <v>2.1662323370830812E-6</v>
      </c>
      <c r="I44" s="173">
        <v>4.3324646741661624E-6</v>
      </c>
      <c r="J44" s="173">
        <v>6.4986970112492449E-6</v>
      </c>
      <c r="K44" s="173">
        <v>0</v>
      </c>
      <c r="L44" s="173">
        <v>2.599478804499698E-5</v>
      </c>
      <c r="M44" s="174">
        <v>3.2493485056246222E-5</v>
      </c>
    </row>
    <row r="45" spans="1:13">
      <c r="A45" s="75"/>
      <c r="B45" s="171">
        <v>246600</v>
      </c>
      <c r="C45" s="71" t="s">
        <v>989</v>
      </c>
      <c r="D45" s="173">
        <v>0</v>
      </c>
      <c r="E45" s="173">
        <v>2.5065256097771786E-4</v>
      </c>
      <c r="F45" s="173">
        <v>8.6431917578523389E-6</v>
      </c>
      <c r="G45" s="173">
        <v>0</v>
      </c>
      <c r="H45" s="173">
        <v>0</v>
      </c>
      <c r="I45" s="173">
        <v>0</v>
      </c>
      <c r="J45" s="173">
        <v>1.7286383515704678E-5</v>
      </c>
      <c r="K45" s="173">
        <v>8.6431917578523389E-6</v>
      </c>
      <c r="L45" s="173">
        <v>1.7286383515704678E-5</v>
      </c>
      <c r="M45" s="174">
        <v>1.296478763677851E-4</v>
      </c>
    </row>
    <row r="46" spans="1:13">
      <c r="A46" s="177"/>
      <c r="B46" s="178">
        <v>251300</v>
      </c>
      <c r="C46" s="191" t="s">
        <v>990</v>
      </c>
      <c r="D46" s="179">
        <v>0</v>
      </c>
      <c r="E46" s="180">
        <v>4.0075436115040077E-3</v>
      </c>
      <c r="F46" s="180">
        <v>2.3573785950023572E-5</v>
      </c>
      <c r="G46" s="180">
        <v>0</v>
      </c>
      <c r="H46" s="180">
        <v>3.5360678925035359E-5</v>
      </c>
      <c r="I46" s="180">
        <v>1.2965582272512965E-4</v>
      </c>
      <c r="J46" s="180">
        <v>3.5360678925035359E-5</v>
      </c>
      <c r="K46" s="180">
        <v>8.2508250825082509E-5</v>
      </c>
      <c r="L46" s="180">
        <v>1.4144271570014144E-4</v>
      </c>
      <c r="M46" s="181">
        <v>3.1824611032531822E-4</v>
      </c>
    </row>
    <row r="47" spans="1:13">
      <c r="A47" s="75"/>
      <c r="B47" s="171"/>
      <c r="C47" s="71"/>
      <c r="D47" s="173"/>
      <c r="E47" s="173"/>
      <c r="F47" s="173"/>
      <c r="G47" s="173"/>
      <c r="H47" s="173"/>
      <c r="I47" s="173"/>
      <c r="J47" s="173"/>
      <c r="K47" s="173"/>
      <c r="L47" s="173"/>
      <c r="M47" s="174"/>
    </row>
    <row r="48" spans="1:13">
      <c r="A48" s="75" t="s">
        <v>991</v>
      </c>
      <c r="B48" s="190" t="s">
        <v>992</v>
      </c>
      <c r="C48" s="71"/>
      <c r="D48" s="173"/>
      <c r="E48" s="173"/>
      <c r="F48" s="173"/>
      <c r="G48" s="173"/>
      <c r="H48" s="173"/>
      <c r="I48" s="173"/>
      <c r="J48" s="173"/>
      <c r="K48" s="173"/>
      <c r="L48" s="173"/>
      <c r="M48" s="174"/>
    </row>
    <row r="49" spans="1:13">
      <c r="A49" s="75"/>
      <c r="B49" s="171">
        <v>252</v>
      </c>
      <c r="C49" s="192" t="s">
        <v>993</v>
      </c>
      <c r="D49" s="173">
        <v>7.552447974962124E-7</v>
      </c>
      <c r="E49" s="173">
        <v>1.3662378386706483E-3</v>
      </c>
      <c r="F49" s="173">
        <v>4.5314687849772744E-6</v>
      </c>
      <c r="G49" s="173">
        <v>1.1328671962443186E-5</v>
      </c>
      <c r="H49" s="173">
        <v>3.3986015887329561E-5</v>
      </c>
      <c r="I49" s="173">
        <v>4.0027974267299257E-5</v>
      </c>
      <c r="J49" s="173">
        <v>1.4349651152428036E-5</v>
      </c>
      <c r="K49" s="173">
        <v>1.8125875139909098E-5</v>
      </c>
      <c r="L49" s="173">
        <v>4.7580422242261387E-5</v>
      </c>
      <c r="M49" s="174">
        <v>1.963636473490152E-4</v>
      </c>
    </row>
    <row r="50" spans="1:13">
      <c r="A50" s="75"/>
      <c r="B50" s="171">
        <v>2521</v>
      </c>
      <c r="C50" s="71" t="s">
        <v>994</v>
      </c>
      <c r="D50" s="173">
        <v>0</v>
      </c>
      <c r="E50" s="173">
        <v>8.3430836841449246E-4</v>
      </c>
      <c r="F50" s="173">
        <v>6.0311448319119939E-6</v>
      </c>
      <c r="G50" s="173">
        <v>8.0415264425493246E-6</v>
      </c>
      <c r="H50" s="173">
        <v>2.2114197717010643E-5</v>
      </c>
      <c r="I50" s="173">
        <v>2.6134960938285304E-5</v>
      </c>
      <c r="J50" s="173">
        <v>1.0051908053186655E-5</v>
      </c>
      <c r="K50" s="173">
        <v>6.0311448319119939E-6</v>
      </c>
      <c r="L50" s="173">
        <v>1.8093434495735982E-5</v>
      </c>
      <c r="M50" s="174">
        <v>7.8404882814855917E-5</v>
      </c>
    </row>
    <row r="51" spans="1:13">
      <c r="A51" s="75"/>
      <c r="B51" s="171">
        <v>252110</v>
      </c>
      <c r="C51" s="71" t="s">
        <v>995</v>
      </c>
      <c r="D51" s="173">
        <v>0</v>
      </c>
      <c r="E51" s="173">
        <v>1.0141834309674099E-3</v>
      </c>
      <c r="F51" s="173">
        <v>6.0548264535367751E-6</v>
      </c>
      <c r="G51" s="173">
        <v>9.0822396803051631E-6</v>
      </c>
      <c r="H51" s="173">
        <v>3.3301545494452267E-5</v>
      </c>
      <c r="I51" s="173">
        <v>3.3301545494452267E-5</v>
      </c>
      <c r="J51" s="173">
        <v>1.210965290707355E-5</v>
      </c>
      <c r="K51" s="173">
        <v>6.0548264535367751E-6</v>
      </c>
      <c r="L51" s="173">
        <v>2.42193058141471E-5</v>
      </c>
      <c r="M51" s="174">
        <v>9.9904636483356794E-5</v>
      </c>
    </row>
    <row r="52" spans="1:13">
      <c r="A52" s="75"/>
      <c r="B52" s="171">
        <v>252120</v>
      </c>
      <c r="C52" s="71" t="s">
        <v>996</v>
      </c>
      <c r="D52" s="173">
        <v>0</v>
      </c>
      <c r="E52" s="173">
        <v>4.5525731143242161E-4</v>
      </c>
      <c r="F52" s="173">
        <v>6.070097485765621E-6</v>
      </c>
      <c r="G52" s="173">
        <v>6.070097485765621E-6</v>
      </c>
      <c r="H52" s="173">
        <v>0</v>
      </c>
      <c r="I52" s="173">
        <v>1.2140194971531242E-5</v>
      </c>
      <c r="J52" s="173">
        <v>0</v>
      </c>
      <c r="K52" s="173">
        <v>6.070097485765621E-6</v>
      </c>
      <c r="L52" s="173">
        <v>6.070097485765621E-6</v>
      </c>
      <c r="M52" s="174">
        <v>3.0350487428828107E-5</v>
      </c>
    </row>
    <row r="53" spans="1:13">
      <c r="A53" s="75"/>
      <c r="B53" s="171">
        <v>252130</v>
      </c>
      <c r="C53" s="71" t="s">
        <v>997</v>
      </c>
      <c r="D53" s="173">
        <v>0</v>
      </c>
      <c r="E53" s="173">
        <v>2.1177467174925881E-3</v>
      </c>
      <c r="F53" s="173">
        <v>0</v>
      </c>
      <c r="G53" s="173">
        <v>0</v>
      </c>
      <c r="H53" s="173">
        <v>0</v>
      </c>
      <c r="I53" s="173">
        <v>0</v>
      </c>
      <c r="J53" s="173">
        <v>4.2354934349851756E-4</v>
      </c>
      <c r="K53" s="173">
        <v>0</v>
      </c>
      <c r="L53" s="173">
        <v>0</v>
      </c>
      <c r="M53" s="174">
        <v>4.2354934349851756E-4</v>
      </c>
    </row>
    <row r="54" spans="1:13">
      <c r="A54" s="75"/>
      <c r="B54" s="171">
        <v>2522</v>
      </c>
      <c r="C54" s="71" t="s">
        <v>998</v>
      </c>
      <c r="D54" s="173">
        <v>0</v>
      </c>
      <c r="E54" s="173">
        <v>1.4280446357898989E-3</v>
      </c>
      <c r="F54" s="173">
        <v>2.3487576246544387E-6</v>
      </c>
      <c r="G54" s="173">
        <v>7.046272873963317E-6</v>
      </c>
      <c r="H54" s="173">
        <v>3.5231364369816588E-5</v>
      </c>
      <c r="I54" s="173">
        <v>4.462639486843434E-5</v>
      </c>
      <c r="J54" s="173">
        <v>4.6975152493088774E-6</v>
      </c>
      <c r="K54" s="173">
        <v>7.046272873963317E-6</v>
      </c>
      <c r="L54" s="173">
        <v>2.8185091495853268E-5</v>
      </c>
      <c r="M54" s="174">
        <v>1.738080642244285E-4</v>
      </c>
    </row>
    <row r="55" spans="1:13">
      <c r="A55" s="75"/>
      <c r="B55" s="171">
        <v>2523</v>
      </c>
      <c r="C55" s="71" t="s">
        <v>999</v>
      </c>
      <c r="D55" s="173">
        <v>9.0628965017219499E-6</v>
      </c>
      <c r="E55" s="173">
        <v>1.3322457857531268E-3</v>
      </c>
      <c r="F55" s="173">
        <v>0</v>
      </c>
      <c r="G55" s="173">
        <v>9.0628965017219499E-6</v>
      </c>
      <c r="H55" s="173">
        <v>1.81257930034439E-5</v>
      </c>
      <c r="I55" s="173">
        <v>7.2503172013775599E-5</v>
      </c>
      <c r="J55" s="173">
        <v>9.0628965017219499E-6</v>
      </c>
      <c r="K55" s="173">
        <v>9.0628965017219499E-6</v>
      </c>
      <c r="L55" s="173">
        <v>3.62515860068878E-5</v>
      </c>
      <c r="M55" s="174">
        <v>1.2688055102410729E-4</v>
      </c>
    </row>
    <row r="56" spans="1:13">
      <c r="A56" s="75"/>
      <c r="B56" s="171">
        <v>252310</v>
      </c>
      <c r="C56" s="71" t="s">
        <v>1000</v>
      </c>
      <c r="D56" s="173">
        <v>0</v>
      </c>
      <c r="E56" s="173">
        <v>1.337196344996657E-3</v>
      </c>
      <c r="F56" s="173">
        <v>0</v>
      </c>
      <c r="G56" s="173">
        <v>7.4288685833147602E-5</v>
      </c>
      <c r="H56" s="173">
        <v>7.4288685833147602E-5</v>
      </c>
      <c r="I56" s="173">
        <v>0</v>
      </c>
      <c r="J56" s="173">
        <v>0</v>
      </c>
      <c r="K56" s="173">
        <v>7.4288685833147602E-5</v>
      </c>
      <c r="L56" s="173">
        <v>1.485773716662952E-4</v>
      </c>
      <c r="M56" s="174">
        <v>7.4288685833147602E-5</v>
      </c>
    </row>
    <row r="57" spans="1:13">
      <c r="A57" s="75"/>
      <c r="B57" s="171">
        <v>252390</v>
      </c>
      <c r="C57" s="71" t="s">
        <v>1001</v>
      </c>
      <c r="D57" s="173">
        <v>1.0322154440074731E-5</v>
      </c>
      <c r="E57" s="173">
        <v>1.3315579227696406E-3</v>
      </c>
      <c r="F57" s="173">
        <v>0</v>
      </c>
      <c r="G57" s="173">
        <v>0</v>
      </c>
      <c r="H57" s="173">
        <v>1.0322154440074731E-5</v>
      </c>
      <c r="I57" s="173">
        <v>8.2577235520597849E-5</v>
      </c>
      <c r="J57" s="173">
        <v>1.0322154440074731E-5</v>
      </c>
      <c r="K57" s="173">
        <v>0</v>
      </c>
      <c r="L57" s="173">
        <v>2.0644308880149462E-5</v>
      </c>
      <c r="M57" s="174">
        <v>1.3418800772097152E-4</v>
      </c>
    </row>
    <row r="58" spans="1:13">
      <c r="A58" s="75"/>
      <c r="B58" s="171">
        <v>2524</v>
      </c>
      <c r="C58" s="71" t="s">
        <v>1002</v>
      </c>
      <c r="D58" s="173">
        <v>0</v>
      </c>
      <c r="E58" s="173">
        <v>2.199209110714175E-3</v>
      </c>
      <c r="F58" s="173">
        <v>6.8832836016093114E-6</v>
      </c>
      <c r="G58" s="173">
        <v>2.4091492605632592E-5</v>
      </c>
      <c r="H58" s="173">
        <v>5.8507910613679141E-5</v>
      </c>
      <c r="I58" s="173">
        <v>4.4741343410460534E-5</v>
      </c>
      <c r="J58" s="173">
        <v>3.7858059808851213E-5</v>
      </c>
      <c r="K58" s="173">
        <v>5.8507910613679155E-5</v>
      </c>
      <c r="L58" s="173">
        <v>1.3078238843057692E-4</v>
      </c>
      <c r="M58" s="174">
        <v>4.5773835950701917E-4</v>
      </c>
    </row>
    <row r="59" spans="1:13">
      <c r="A59" s="75"/>
      <c r="B59" s="171">
        <v>252410</v>
      </c>
      <c r="C59" s="71" t="s">
        <v>1003</v>
      </c>
      <c r="D59" s="173">
        <v>0</v>
      </c>
      <c r="E59" s="173">
        <v>2.0830293893562874E-3</v>
      </c>
      <c r="F59" s="173">
        <v>0</v>
      </c>
      <c r="G59" s="173">
        <v>0</v>
      </c>
      <c r="H59" s="173">
        <v>0</v>
      </c>
      <c r="I59" s="173">
        <v>2.4315518163692069E-5</v>
      </c>
      <c r="J59" s="173">
        <v>0</v>
      </c>
      <c r="K59" s="173">
        <v>2.4315518163692069E-5</v>
      </c>
      <c r="L59" s="173">
        <v>4.052586360615345E-5</v>
      </c>
      <c r="M59" s="174">
        <v>2.6747069980061276E-4</v>
      </c>
    </row>
    <row r="60" spans="1:13">
      <c r="A60" s="75"/>
      <c r="B60" s="171">
        <v>252420</v>
      </c>
      <c r="C60" s="71" t="s">
        <v>1004</v>
      </c>
      <c r="D60" s="173">
        <v>0</v>
      </c>
      <c r="E60" s="173">
        <v>1.5251167667524545E-3</v>
      </c>
      <c r="F60" s="173">
        <v>0</v>
      </c>
      <c r="G60" s="173">
        <v>0</v>
      </c>
      <c r="H60" s="173">
        <v>9.5319797922028404E-5</v>
      </c>
      <c r="I60" s="173">
        <v>0</v>
      </c>
      <c r="J60" s="173">
        <v>0</v>
      </c>
      <c r="K60" s="173">
        <v>0</v>
      </c>
      <c r="L60" s="173">
        <v>0</v>
      </c>
      <c r="M60" s="174">
        <v>8.5787818129825567E-4</v>
      </c>
    </row>
    <row r="61" spans="1:13" ht="13.8" thickBot="1">
      <c r="A61" s="76"/>
      <c r="B61" s="184">
        <v>252490</v>
      </c>
      <c r="C61" s="74" t="s">
        <v>1005</v>
      </c>
      <c r="D61" s="186">
        <v>0</v>
      </c>
      <c r="E61" s="186">
        <v>2.3358223243346737E-3</v>
      </c>
      <c r="F61" s="186">
        <v>1.2764056417129362E-5</v>
      </c>
      <c r="G61" s="186">
        <v>4.4674197459952773E-5</v>
      </c>
      <c r="H61" s="186">
        <v>1.021124513370349E-4</v>
      </c>
      <c r="I61" s="186">
        <v>6.3820282085646815E-5</v>
      </c>
      <c r="J61" s="186">
        <v>7.0202310294211498E-5</v>
      </c>
      <c r="K61" s="186">
        <v>8.9348394919905547E-5</v>
      </c>
      <c r="L61" s="186">
        <v>2.1060693088263449E-4</v>
      </c>
      <c r="M61" s="187">
        <v>5.8076456697938607E-4</v>
      </c>
    </row>
    <row r="62" spans="1:13" ht="9.75" customHeight="1">
      <c r="A62" s="107"/>
      <c r="B62" s="159"/>
      <c r="C62" s="108"/>
      <c r="D62" s="193"/>
      <c r="E62" s="188"/>
      <c r="F62" s="188"/>
      <c r="G62" s="188"/>
      <c r="H62" s="188"/>
      <c r="I62" s="188"/>
      <c r="J62" s="188"/>
      <c r="K62" s="188"/>
      <c r="L62" s="188"/>
      <c r="M62" s="189"/>
    </row>
    <row r="63" spans="1:13" ht="15.6">
      <c r="A63" s="170" t="s">
        <v>977</v>
      </c>
      <c r="B63" s="171"/>
      <c r="C63" s="71"/>
      <c r="D63" s="172"/>
      <c r="E63" s="173"/>
      <c r="F63" s="173"/>
      <c r="G63" s="173"/>
      <c r="H63" s="173"/>
      <c r="I63" s="173"/>
      <c r="J63" s="173"/>
      <c r="K63" s="173"/>
      <c r="L63" s="173"/>
      <c r="M63" s="174"/>
    </row>
    <row r="64" spans="1:13" ht="12" customHeight="1">
      <c r="A64" s="170"/>
      <c r="B64" s="171"/>
      <c r="C64" s="71"/>
      <c r="D64" s="172"/>
      <c r="E64" s="173"/>
      <c r="F64" s="173"/>
      <c r="G64" s="173"/>
      <c r="H64" s="173"/>
      <c r="I64" s="173"/>
      <c r="J64" s="173"/>
      <c r="K64" s="173"/>
      <c r="L64" s="173"/>
      <c r="M64" s="174"/>
    </row>
    <row r="65" spans="1:13">
      <c r="A65" s="75"/>
      <c r="B65" s="190" t="s">
        <v>1006</v>
      </c>
      <c r="C65" s="71"/>
      <c r="D65" s="172"/>
      <c r="E65" s="173"/>
      <c r="F65" s="173"/>
      <c r="G65" s="173"/>
      <c r="H65" s="173"/>
      <c r="I65" s="173"/>
      <c r="J65" s="173"/>
      <c r="K65" s="173"/>
      <c r="L65" s="173"/>
      <c r="M65" s="174"/>
    </row>
    <row r="66" spans="1:13">
      <c r="A66" s="75"/>
      <c r="B66" s="171">
        <v>2612</v>
      </c>
      <c r="C66" s="71" t="s">
        <v>1007</v>
      </c>
      <c r="D66" s="173">
        <v>0</v>
      </c>
      <c r="E66" s="173">
        <v>1.4654290162909515E-3</v>
      </c>
      <c r="F66" s="173">
        <v>0</v>
      </c>
      <c r="G66" s="173">
        <v>3.9821440660080196E-6</v>
      </c>
      <c r="H66" s="173">
        <v>1.1946432198024061E-5</v>
      </c>
      <c r="I66" s="173">
        <v>3.5839296594072178E-5</v>
      </c>
      <c r="J66" s="173">
        <v>0</v>
      </c>
      <c r="K66" s="173">
        <v>3.9821440660080196E-6</v>
      </c>
      <c r="L66" s="173">
        <v>3.9821440660080196E-6</v>
      </c>
      <c r="M66" s="174">
        <v>1.2742861011225663E-4</v>
      </c>
    </row>
    <row r="67" spans="1:13">
      <c r="A67" s="75"/>
      <c r="B67" s="171">
        <v>2613</v>
      </c>
      <c r="C67" s="71" t="s">
        <v>1008</v>
      </c>
      <c r="D67" s="173">
        <v>0</v>
      </c>
      <c r="E67" s="173">
        <v>1.9028233549276601E-4</v>
      </c>
      <c r="F67" s="173">
        <v>1.0873276313872344E-6</v>
      </c>
      <c r="G67" s="173">
        <v>1.0873276313872344E-6</v>
      </c>
      <c r="H67" s="173">
        <v>0</v>
      </c>
      <c r="I67" s="173">
        <v>1.5222586839421281E-5</v>
      </c>
      <c r="J67" s="173">
        <v>2.1746552627744687E-6</v>
      </c>
      <c r="K67" s="173">
        <v>1.0873276313872344E-6</v>
      </c>
      <c r="L67" s="173">
        <v>4.3493105255489375E-6</v>
      </c>
      <c r="M67" s="174">
        <v>1.739724210219575E-5</v>
      </c>
    </row>
    <row r="68" spans="1:13">
      <c r="A68" s="177"/>
      <c r="B68" s="178">
        <v>2621</v>
      </c>
      <c r="C68" s="191" t="s">
        <v>1009</v>
      </c>
      <c r="D68" s="179">
        <v>0</v>
      </c>
      <c r="E68" s="180">
        <v>8.2236842105263153E-3</v>
      </c>
      <c r="F68" s="180">
        <v>2.7412280701754384E-4</v>
      </c>
      <c r="G68" s="180">
        <v>1.3706140350877192E-4</v>
      </c>
      <c r="H68" s="180">
        <v>0</v>
      </c>
      <c r="I68" s="180">
        <v>6.8530701754385972E-4</v>
      </c>
      <c r="J68" s="180">
        <v>8.2236842105263153E-4</v>
      </c>
      <c r="K68" s="180">
        <v>1.3706140350877192E-4</v>
      </c>
      <c r="L68" s="180">
        <v>6.8530701754385972E-4</v>
      </c>
      <c r="M68" s="181">
        <v>5.3453947368421054E-3</v>
      </c>
    </row>
    <row r="69" spans="1:13">
      <c r="A69" s="75"/>
      <c r="B69" s="171"/>
      <c r="C69" s="71"/>
      <c r="D69" s="172"/>
      <c r="E69" s="173"/>
      <c r="F69" s="173"/>
      <c r="G69" s="173"/>
      <c r="H69" s="173"/>
      <c r="I69" s="173"/>
      <c r="J69" s="173"/>
      <c r="K69" s="173"/>
      <c r="L69" s="173"/>
      <c r="M69" s="174"/>
    </row>
    <row r="70" spans="1:13">
      <c r="A70" s="75"/>
      <c r="B70" s="190" t="s">
        <v>1010</v>
      </c>
      <c r="C70" s="71"/>
      <c r="D70" s="172"/>
      <c r="E70" s="173"/>
      <c r="F70" s="173"/>
      <c r="G70" s="173"/>
      <c r="H70" s="173"/>
      <c r="I70" s="173"/>
      <c r="J70" s="173"/>
      <c r="K70" s="173"/>
      <c r="L70" s="173"/>
      <c r="M70" s="174"/>
    </row>
    <row r="71" spans="1:13">
      <c r="A71" s="75"/>
      <c r="B71" s="171">
        <v>2614</v>
      </c>
      <c r="C71" s="71" t="s">
        <v>249</v>
      </c>
      <c r="D71" s="173">
        <v>0</v>
      </c>
      <c r="E71" s="173">
        <v>1.0154295762439011E-3</v>
      </c>
      <c r="F71" s="173">
        <v>0</v>
      </c>
      <c r="G71" s="173">
        <v>6.1916437575847631E-6</v>
      </c>
      <c r="H71" s="173">
        <v>8.6683012606186694E-5</v>
      </c>
      <c r="I71" s="173">
        <v>3.7149862545508582E-5</v>
      </c>
      <c r="J71" s="173">
        <v>1.2383287515169526E-5</v>
      </c>
      <c r="K71" s="173">
        <v>6.1916437575847631E-6</v>
      </c>
      <c r="L71" s="173">
        <v>6.8108081333432399E-5</v>
      </c>
      <c r="M71" s="174">
        <v>1.4240780642444956E-4</v>
      </c>
    </row>
    <row r="72" spans="1:13">
      <c r="A72" s="177"/>
      <c r="B72" s="178">
        <v>268220</v>
      </c>
      <c r="C72" s="191" t="s">
        <v>254</v>
      </c>
      <c r="D72" s="179"/>
      <c r="E72" s="180"/>
      <c r="F72" s="180"/>
      <c r="G72" s="180"/>
      <c r="H72" s="180" t="s">
        <v>1011</v>
      </c>
      <c r="I72" s="180"/>
      <c r="J72" s="180"/>
      <c r="K72" s="180"/>
      <c r="L72" s="180"/>
      <c r="M72" s="181"/>
    </row>
    <row r="73" spans="1:13">
      <c r="A73" s="75"/>
      <c r="B73" s="171"/>
      <c r="C73" s="71"/>
      <c r="D73" s="172"/>
      <c r="E73" s="173"/>
      <c r="F73" s="173"/>
      <c r="G73" s="173"/>
      <c r="H73" s="173"/>
      <c r="I73" s="173"/>
      <c r="J73" s="173"/>
      <c r="K73" s="173"/>
      <c r="L73" s="173"/>
      <c r="M73" s="174"/>
    </row>
    <row r="74" spans="1:13">
      <c r="A74" s="75"/>
      <c r="B74" s="190" t="s">
        <v>1012</v>
      </c>
      <c r="C74" s="71"/>
      <c r="D74" s="172"/>
      <c r="E74" s="173"/>
      <c r="F74" s="173"/>
      <c r="G74" s="173"/>
      <c r="H74" s="173"/>
      <c r="I74" s="173"/>
      <c r="J74" s="173"/>
      <c r="K74" s="173"/>
      <c r="L74" s="173"/>
      <c r="M74" s="174"/>
    </row>
    <row r="75" spans="1:13">
      <c r="A75" s="75"/>
      <c r="B75" s="194">
        <v>264000</v>
      </c>
      <c r="C75" s="71" t="s">
        <v>1013</v>
      </c>
      <c r="D75" s="173">
        <v>0</v>
      </c>
      <c r="E75" s="173">
        <v>2.9727141995409634E-5</v>
      </c>
      <c r="F75" s="173">
        <v>4.1287697215846711E-7</v>
      </c>
      <c r="G75" s="173">
        <v>0</v>
      </c>
      <c r="H75" s="173">
        <v>0</v>
      </c>
      <c r="I75" s="173">
        <v>4.1287697215846712E-6</v>
      </c>
      <c r="J75" s="173">
        <v>8.2575394431693422E-7</v>
      </c>
      <c r="K75" s="173">
        <v>0</v>
      </c>
      <c r="L75" s="173">
        <v>4.1287697215846711E-7</v>
      </c>
      <c r="M75" s="174">
        <v>5.7802776102185407E-6</v>
      </c>
    </row>
    <row r="76" spans="1:13">
      <c r="A76" s="75"/>
      <c r="B76" s="171">
        <v>266110</v>
      </c>
      <c r="C76" s="71" t="s">
        <v>1014</v>
      </c>
      <c r="D76" s="173">
        <v>6.6670266861077158E-7</v>
      </c>
      <c r="E76" s="173">
        <v>4.5335781465532474E-5</v>
      </c>
      <c r="F76" s="173">
        <v>6.6670266861077158E-7</v>
      </c>
      <c r="G76" s="173">
        <v>3.3335133430538579E-7</v>
      </c>
      <c r="H76" s="173">
        <v>0</v>
      </c>
      <c r="I76" s="173">
        <v>9.3338373605508038E-6</v>
      </c>
      <c r="J76" s="173">
        <v>2.0001080058323147E-6</v>
      </c>
      <c r="K76" s="173">
        <v>0</v>
      </c>
      <c r="L76" s="173">
        <v>1.3334053372215432E-6</v>
      </c>
      <c r="M76" s="174">
        <v>8.6671346919400305E-6</v>
      </c>
    </row>
    <row r="77" spans="1:13">
      <c r="A77" s="75"/>
      <c r="B77" s="171">
        <v>266120</v>
      </c>
      <c r="C77" s="71" t="s">
        <v>1015</v>
      </c>
      <c r="D77" s="173">
        <v>5.9493248408704333E-7</v>
      </c>
      <c r="E77" s="173">
        <v>1.6777096051254624E-4</v>
      </c>
      <c r="F77" s="173">
        <v>1.9831082802901444E-7</v>
      </c>
      <c r="G77" s="173">
        <v>0</v>
      </c>
      <c r="H77" s="173">
        <v>3.9662165605802889E-7</v>
      </c>
      <c r="I77" s="173">
        <v>6.3459464969284622E-6</v>
      </c>
      <c r="J77" s="173">
        <v>1.5864866242321156E-6</v>
      </c>
      <c r="K77" s="173">
        <v>3.9662165605802889E-7</v>
      </c>
      <c r="L77" s="173">
        <v>6.1476356688994486E-6</v>
      </c>
      <c r="M77" s="174">
        <v>1.0708784713566782E-5</v>
      </c>
    </row>
    <row r="78" spans="1:13">
      <c r="A78" s="177"/>
      <c r="B78" s="178">
        <v>266500</v>
      </c>
      <c r="C78" s="191" t="s">
        <v>1016</v>
      </c>
      <c r="D78" s="179">
        <v>0</v>
      </c>
      <c r="E78" s="180">
        <v>1.5352236122974201E-4</v>
      </c>
      <c r="F78" s="180">
        <v>4.4661050539561317E-5</v>
      </c>
      <c r="G78" s="180">
        <v>0</v>
      </c>
      <c r="H78" s="180">
        <v>0</v>
      </c>
      <c r="I78" s="180">
        <v>2.5121840928503239E-5</v>
      </c>
      <c r="J78" s="180">
        <v>1.2840052030123878E-4</v>
      </c>
      <c r="K78" s="180">
        <v>0</v>
      </c>
      <c r="L78" s="180">
        <v>5.5826313174451646E-6</v>
      </c>
      <c r="M78" s="181">
        <v>2.5121840928503239E-5</v>
      </c>
    </row>
    <row r="79" spans="1:13">
      <c r="A79" s="75"/>
      <c r="B79" s="171"/>
      <c r="C79" s="71"/>
      <c r="D79" s="172"/>
      <c r="E79" s="173"/>
      <c r="F79" s="173"/>
      <c r="G79" s="173"/>
      <c r="H79" s="173"/>
      <c r="I79" s="173"/>
      <c r="J79" s="173"/>
      <c r="K79" s="173"/>
      <c r="L79" s="173"/>
      <c r="M79" s="174"/>
    </row>
    <row r="80" spans="1:13">
      <c r="A80" s="75"/>
      <c r="B80" s="190" t="s">
        <v>1017</v>
      </c>
      <c r="C80" s="71"/>
      <c r="D80" s="172"/>
      <c r="E80" s="173"/>
      <c r="F80" s="173"/>
      <c r="G80" s="173"/>
      <c r="H80" s="173"/>
      <c r="I80" s="173"/>
      <c r="J80" s="173"/>
      <c r="K80" s="173"/>
      <c r="L80" s="173"/>
      <c r="M80" s="174"/>
    </row>
    <row r="81" spans="1:13">
      <c r="A81" s="75"/>
      <c r="B81" s="171">
        <v>2722</v>
      </c>
      <c r="C81" s="71" t="s">
        <v>1018</v>
      </c>
      <c r="D81" s="173">
        <v>0</v>
      </c>
      <c r="E81" s="173">
        <v>7.4296708885579997E-4</v>
      </c>
      <c r="F81" s="173">
        <v>3.0637818097146393E-6</v>
      </c>
      <c r="G81" s="173">
        <v>0</v>
      </c>
      <c r="H81" s="173">
        <v>3.0637818097146393E-6</v>
      </c>
      <c r="I81" s="173">
        <v>1.8382690858287835E-5</v>
      </c>
      <c r="J81" s="173">
        <v>3.0637818097146393E-6</v>
      </c>
      <c r="K81" s="173">
        <v>0</v>
      </c>
      <c r="L81" s="173">
        <v>1.6850799953430516E-5</v>
      </c>
      <c r="M81" s="174">
        <v>5.6679963479720828E-5</v>
      </c>
    </row>
    <row r="82" spans="1:13">
      <c r="A82" s="75"/>
      <c r="B82" s="171">
        <v>2731</v>
      </c>
      <c r="C82" s="71" t="s">
        <v>1019</v>
      </c>
      <c r="D82" s="173">
        <v>0</v>
      </c>
      <c r="E82" s="173">
        <v>1.7539988344394844E-4</v>
      </c>
      <c r="F82" s="173">
        <v>0</v>
      </c>
      <c r="G82" s="173">
        <v>5.6580607562564007E-6</v>
      </c>
      <c r="H82" s="173">
        <v>0</v>
      </c>
      <c r="I82" s="173">
        <v>5.6580607562564007E-6</v>
      </c>
      <c r="J82" s="173">
        <v>0</v>
      </c>
      <c r="K82" s="173">
        <v>0</v>
      </c>
      <c r="L82" s="173">
        <v>0</v>
      </c>
      <c r="M82" s="174">
        <v>1.1316121512512801E-5</v>
      </c>
    </row>
    <row r="83" spans="1:13">
      <c r="A83" s="75"/>
      <c r="B83" s="171">
        <v>2811</v>
      </c>
      <c r="C83" s="71" t="s">
        <v>1020</v>
      </c>
      <c r="D83" s="173">
        <v>1.7526010790764843E-6</v>
      </c>
      <c r="E83" s="173">
        <v>1.5361548458105387E-3</v>
      </c>
      <c r="F83" s="173">
        <v>8.7630053953824214E-7</v>
      </c>
      <c r="G83" s="173">
        <v>4.3815026976912113E-6</v>
      </c>
      <c r="H83" s="173">
        <v>8.7630053953824214E-7</v>
      </c>
      <c r="I83" s="173">
        <v>6.3093638846753439E-5</v>
      </c>
      <c r="J83" s="173">
        <v>1.3144508093073633E-5</v>
      </c>
      <c r="K83" s="173">
        <v>7.0104043163059371E-6</v>
      </c>
      <c r="L83" s="173">
        <v>1.4897109172150119E-5</v>
      </c>
      <c r="M83" s="174">
        <v>8.5001152335209505E-5</v>
      </c>
    </row>
    <row r="84" spans="1:13">
      <c r="A84" s="75"/>
      <c r="B84" s="171">
        <v>2872</v>
      </c>
      <c r="C84" s="71" t="s">
        <v>1021</v>
      </c>
      <c r="D84" s="173">
        <v>0</v>
      </c>
      <c r="E84" s="173">
        <v>1.5064176466067173E-3</v>
      </c>
      <c r="F84" s="173">
        <v>0</v>
      </c>
      <c r="G84" s="173">
        <v>0</v>
      </c>
      <c r="H84" s="173">
        <v>7.6858043194220277E-6</v>
      </c>
      <c r="I84" s="173">
        <v>7.3015141034509258E-5</v>
      </c>
      <c r="J84" s="173">
        <v>3.8429021597110138E-6</v>
      </c>
      <c r="K84" s="173">
        <v>0</v>
      </c>
      <c r="L84" s="173">
        <v>4.9957728076243178E-5</v>
      </c>
      <c r="M84" s="174">
        <v>1.4987318422872954E-4</v>
      </c>
    </row>
    <row r="85" spans="1:13">
      <c r="A85" s="75"/>
      <c r="B85" s="171">
        <v>2874</v>
      </c>
      <c r="C85" s="71" t="s">
        <v>1022</v>
      </c>
      <c r="D85" s="173">
        <v>0</v>
      </c>
      <c r="E85" s="173">
        <v>1.634863463356068E-3</v>
      </c>
      <c r="F85" s="173">
        <v>0</v>
      </c>
      <c r="G85" s="173">
        <v>0</v>
      </c>
      <c r="H85" s="173">
        <v>0</v>
      </c>
      <c r="I85" s="173">
        <v>1.2772370807469284E-4</v>
      </c>
      <c r="J85" s="173">
        <v>0</v>
      </c>
      <c r="K85" s="173">
        <v>2.5544741614938562E-5</v>
      </c>
      <c r="L85" s="173">
        <v>5.1089483229877125E-5</v>
      </c>
      <c r="M85" s="174">
        <v>1.7881319130456997E-4</v>
      </c>
    </row>
    <row r="86" spans="1:13">
      <c r="A86" s="75"/>
      <c r="B86" s="171">
        <v>287590</v>
      </c>
      <c r="C86" s="71" t="s">
        <v>1023</v>
      </c>
      <c r="D86" s="173">
        <v>0</v>
      </c>
      <c r="E86" s="173">
        <v>2.5783652406031858E-3</v>
      </c>
      <c r="F86" s="173">
        <v>1.7062711151050493E-5</v>
      </c>
      <c r="G86" s="173">
        <v>7.583427178244664E-6</v>
      </c>
      <c r="H86" s="173">
        <v>1.3270997561928163E-5</v>
      </c>
      <c r="I86" s="173">
        <v>1.5356440035945446E-4</v>
      </c>
      <c r="J86" s="173">
        <v>4.5500563069467986E-5</v>
      </c>
      <c r="K86" s="173">
        <v>1.1375140767366996E-5</v>
      </c>
      <c r="L86" s="173">
        <v>6.2563274220518475E-5</v>
      </c>
      <c r="M86" s="174">
        <v>2.8058680559505257E-4</v>
      </c>
    </row>
    <row r="87" spans="1:13">
      <c r="A87" s="75"/>
      <c r="B87" s="171">
        <v>2913</v>
      </c>
      <c r="C87" s="71" t="s">
        <v>1024</v>
      </c>
      <c r="D87" s="173">
        <v>0</v>
      </c>
      <c r="E87" s="173">
        <v>6.4930848646191806E-3</v>
      </c>
      <c r="F87" s="173">
        <v>1.0821808107698634E-5</v>
      </c>
      <c r="G87" s="173">
        <v>1.6232712161547951E-5</v>
      </c>
      <c r="H87" s="173">
        <v>4.8698136484643852E-5</v>
      </c>
      <c r="I87" s="173">
        <v>4.3828322836179468E-4</v>
      </c>
      <c r="J87" s="173">
        <v>5.4109040538493176E-5</v>
      </c>
      <c r="K87" s="173">
        <v>4.3287232430794535E-5</v>
      </c>
      <c r="L87" s="173">
        <v>5.9519944592342484E-4</v>
      </c>
      <c r="M87" s="174">
        <v>1.3689587256238772E-3</v>
      </c>
    </row>
    <row r="88" spans="1:13">
      <c r="A88" s="177" t="s">
        <v>1025</v>
      </c>
      <c r="B88" s="178">
        <v>285100</v>
      </c>
      <c r="C88" s="191" t="s">
        <v>1026</v>
      </c>
      <c r="D88" s="179"/>
      <c r="E88" s="180"/>
      <c r="F88" s="180"/>
      <c r="G88" s="180"/>
      <c r="H88" s="180" t="s">
        <v>1027</v>
      </c>
      <c r="I88" s="180"/>
      <c r="J88" s="180"/>
      <c r="K88" s="180"/>
      <c r="L88" s="180"/>
      <c r="M88" s="181"/>
    </row>
    <row r="89" spans="1:13">
      <c r="A89" s="75"/>
      <c r="B89" s="171"/>
      <c r="C89" s="71"/>
      <c r="D89" s="172"/>
      <c r="E89" s="173"/>
      <c r="F89" s="173"/>
      <c r="G89" s="173"/>
      <c r="H89" s="173"/>
      <c r="I89" s="173"/>
      <c r="J89" s="173"/>
      <c r="K89" s="173"/>
      <c r="L89" s="173"/>
      <c r="M89" s="174"/>
    </row>
    <row r="90" spans="1:13">
      <c r="A90" s="75"/>
      <c r="B90" s="190" t="s">
        <v>1028</v>
      </c>
      <c r="C90" s="71"/>
      <c r="D90" s="172"/>
      <c r="E90" s="173"/>
      <c r="F90" s="173"/>
      <c r="G90" s="173"/>
      <c r="H90" s="173"/>
      <c r="I90" s="173"/>
      <c r="J90" s="173"/>
      <c r="K90" s="173"/>
      <c r="L90" s="173"/>
      <c r="M90" s="174"/>
    </row>
    <row r="91" spans="1:13">
      <c r="A91" s="75"/>
      <c r="B91" s="171">
        <v>171</v>
      </c>
      <c r="C91" s="71" t="s">
        <v>1029</v>
      </c>
      <c r="D91" s="173">
        <v>0</v>
      </c>
      <c r="E91" s="173">
        <v>3.8338433400161797E-3</v>
      </c>
      <c r="F91" s="173">
        <v>0</v>
      </c>
      <c r="G91" s="173">
        <v>0</v>
      </c>
      <c r="H91" s="173">
        <v>0</v>
      </c>
      <c r="I91" s="173">
        <v>1.758643733952376E-4</v>
      </c>
      <c r="J91" s="173">
        <v>2.1103724807428512E-4</v>
      </c>
      <c r="K91" s="173">
        <v>3.5172874679047515E-5</v>
      </c>
      <c r="L91" s="173">
        <v>0</v>
      </c>
      <c r="M91" s="174">
        <v>4.2207449614857024E-4</v>
      </c>
    </row>
    <row r="92" spans="1:13">
      <c r="A92" s="75"/>
      <c r="B92" s="171">
        <v>172</v>
      </c>
      <c r="C92" s="71" t="s">
        <v>1030</v>
      </c>
      <c r="D92" s="173">
        <v>0</v>
      </c>
      <c r="E92" s="173">
        <v>2.6572187776793621E-3</v>
      </c>
      <c r="F92" s="173">
        <v>4.2178075836180348E-5</v>
      </c>
      <c r="G92" s="173">
        <v>0</v>
      </c>
      <c r="H92" s="173">
        <v>0</v>
      </c>
      <c r="I92" s="173">
        <v>5.0613691003416426E-4</v>
      </c>
      <c r="J92" s="173">
        <v>1.6871230334472139E-4</v>
      </c>
      <c r="K92" s="173">
        <v>0</v>
      </c>
      <c r="L92" s="173">
        <v>2.5306845501708213E-4</v>
      </c>
      <c r="M92" s="174">
        <v>3.3742460668944278E-4</v>
      </c>
    </row>
    <row r="93" spans="1:13">
      <c r="A93" s="177"/>
      <c r="B93" s="178">
        <v>177200</v>
      </c>
      <c r="C93" s="191" t="s">
        <v>1031</v>
      </c>
      <c r="D93" s="179">
        <v>0</v>
      </c>
      <c r="E93" s="180">
        <v>1.3659049120042027E-3</v>
      </c>
      <c r="F93" s="180">
        <v>0</v>
      </c>
      <c r="G93" s="180">
        <v>5.253480430785395E-5</v>
      </c>
      <c r="H93" s="180">
        <v>0</v>
      </c>
      <c r="I93" s="180">
        <v>2.6267402153926978E-4</v>
      </c>
      <c r="J93" s="180">
        <v>1.050696086157079E-4</v>
      </c>
      <c r="K93" s="180">
        <v>1.5760441292356187E-4</v>
      </c>
      <c r="L93" s="180">
        <v>1.050696086157079E-4</v>
      </c>
      <c r="M93" s="181">
        <v>4.2553191489361703E-3</v>
      </c>
    </row>
    <row r="94" spans="1:13">
      <c r="A94" s="75"/>
      <c r="B94" s="171"/>
      <c r="C94" s="71"/>
      <c r="D94" s="172"/>
      <c r="E94" s="173"/>
      <c r="F94" s="173"/>
      <c r="G94" s="173"/>
      <c r="H94" s="173"/>
      <c r="I94" s="173"/>
      <c r="J94" s="173"/>
      <c r="K94" s="173"/>
      <c r="L94" s="173"/>
      <c r="M94" s="174"/>
    </row>
    <row r="95" spans="1:13">
      <c r="A95" s="75"/>
      <c r="B95" s="171">
        <v>191</v>
      </c>
      <c r="C95" s="71" t="s">
        <v>1032</v>
      </c>
      <c r="D95" s="173">
        <v>5.7840245242639823E-5</v>
      </c>
      <c r="E95" s="173">
        <v>4.6850598646538261E-3</v>
      </c>
      <c r="F95" s="173">
        <v>0</v>
      </c>
      <c r="G95" s="173">
        <v>5.7840245242639823E-5</v>
      </c>
      <c r="H95" s="173">
        <v>0</v>
      </c>
      <c r="I95" s="173">
        <v>5.7840245242639823E-5</v>
      </c>
      <c r="J95" s="173">
        <v>1.1568049048527965E-4</v>
      </c>
      <c r="K95" s="173">
        <v>0</v>
      </c>
      <c r="L95" s="173">
        <v>6.9408294291167794E-4</v>
      </c>
      <c r="M95" s="174">
        <v>6.9408294291167794E-4</v>
      </c>
    </row>
    <row r="96" spans="1:13" ht="13.8" thickBot="1">
      <c r="A96" s="76"/>
      <c r="B96" s="184">
        <v>321010</v>
      </c>
      <c r="C96" s="74" t="s">
        <v>1033</v>
      </c>
      <c r="D96" s="186">
        <v>0</v>
      </c>
      <c r="E96" s="186">
        <v>1.8224573780129337E-2</v>
      </c>
      <c r="F96" s="186">
        <v>0</v>
      </c>
      <c r="G96" s="186">
        <v>0</v>
      </c>
      <c r="H96" s="186">
        <v>1.1757789535567313E-3</v>
      </c>
      <c r="I96" s="186">
        <v>2.9394473838918284E-4</v>
      </c>
      <c r="J96" s="186">
        <v>2.9394473838918284E-4</v>
      </c>
      <c r="K96" s="186">
        <v>2.9394473838918284E-4</v>
      </c>
      <c r="L96" s="186">
        <v>1.7636684303350969E-3</v>
      </c>
      <c r="M96" s="187">
        <v>4.9970605526161085E-3</v>
      </c>
    </row>
    <row r="97" spans="1:13">
      <c r="A97" s="107"/>
      <c r="B97" s="159"/>
      <c r="C97" s="108"/>
      <c r="D97" s="188"/>
      <c r="E97" s="188"/>
      <c r="F97" s="188"/>
      <c r="G97" s="188"/>
      <c r="H97" s="188"/>
      <c r="I97" s="188"/>
      <c r="J97" s="188"/>
      <c r="K97" s="188"/>
      <c r="L97" s="188"/>
      <c r="M97" s="189"/>
    </row>
    <row r="98" spans="1:13" ht="15.6">
      <c r="A98" s="170" t="s">
        <v>1034</v>
      </c>
      <c r="B98" s="171"/>
      <c r="C98" s="71"/>
      <c r="D98" s="173"/>
      <c r="E98" s="173"/>
      <c r="F98" s="173"/>
      <c r="G98" s="173"/>
      <c r="H98" s="173"/>
      <c r="I98" s="173"/>
      <c r="J98" s="173"/>
      <c r="K98" s="173"/>
      <c r="L98" s="173"/>
      <c r="M98" s="174"/>
    </row>
    <row r="99" spans="1:13" ht="12.75" customHeight="1">
      <c r="A99" s="170"/>
      <c r="B99" s="171"/>
      <c r="C99" s="71"/>
      <c r="D99" s="173"/>
      <c r="E99" s="173"/>
      <c r="F99" s="173"/>
      <c r="G99" s="173"/>
      <c r="H99" s="173"/>
      <c r="I99" s="173"/>
      <c r="J99" s="173"/>
      <c r="K99" s="173"/>
      <c r="L99" s="173"/>
      <c r="M99" s="174"/>
    </row>
    <row r="100" spans="1:13" ht="12.75" customHeight="1">
      <c r="A100" s="170"/>
      <c r="B100" s="171">
        <v>291220</v>
      </c>
      <c r="C100" s="71" t="s">
        <v>1035</v>
      </c>
      <c r="D100" s="173">
        <v>0</v>
      </c>
      <c r="E100" s="173">
        <v>2.7994401119776045E-3</v>
      </c>
      <c r="F100" s="173">
        <v>0</v>
      </c>
      <c r="G100" s="173">
        <v>4.443555733297785E-6</v>
      </c>
      <c r="H100" s="173">
        <v>8.8871114665955699E-6</v>
      </c>
      <c r="I100" s="173">
        <v>1.0664533759914683E-4</v>
      </c>
      <c r="J100" s="173">
        <v>3.554844586638228E-5</v>
      </c>
      <c r="K100" s="173">
        <v>2.2217778666488924E-5</v>
      </c>
      <c r="L100" s="173">
        <v>1.6885511786531582E-4</v>
      </c>
      <c r="M100" s="174">
        <v>3.1549245706414273E-4</v>
      </c>
    </row>
    <row r="101" spans="1:13" ht="12.75" customHeight="1">
      <c r="A101" s="170"/>
      <c r="B101" s="171">
        <v>292310</v>
      </c>
      <c r="C101" s="71" t="s">
        <v>1036</v>
      </c>
      <c r="D101" s="173">
        <v>0</v>
      </c>
      <c r="E101" s="173">
        <v>4.3702820818434648E-3</v>
      </c>
      <c r="F101" s="173">
        <v>0</v>
      </c>
      <c r="G101" s="173">
        <v>8.8288526905928566E-6</v>
      </c>
      <c r="H101" s="173">
        <v>4.4144263452964288E-5</v>
      </c>
      <c r="I101" s="173">
        <v>8.8288526905928576E-5</v>
      </c>
      <c r="J101" s="173">
        <v>7.0630821524742852E-5</v>
      </c>
      <c r="K101" s="173">
        <v>4.4144263452964288E-5</v>
      </c>
      <c r="L101" s="173">
        <v>1.6774820112126429E-4</v>
      </c>
      <c r="M101" s="174">
        <v>4.6792919260142148E-4</v>
      </c>
    </row>
    <row r="102" spans="1:13" ht="12.75" customHeight="1">
      <c r="A102" s="170"/>
      <c r="B102" s="171">
        <v>297110</v>
      </c>
      <c r="C102" s="71" t="s">
        <v>1037</v>
      </c>
      <c r="D102" s="173">
        <v>0</v>
      </c>
      <c r="E102" s="173">
        <v>2.1867464870707577E-3</v>
      </c>
      <c r="F102" s="173">
        <v>4.1573127130622762E-6</v>
      </c>
      <c r="G102" s="173">
        <v>1.247193813918683E-5</v>
      </c>
      <c r="H102" s="173">
        <v>1.6629250852249105E-5</v>
      </c>
      <c r="I102" s="173">
        <v>8.7303566974307809E-5</v>
      </c>
      <c r="J102" s="173">
        <v>1.6629250852249105E-5</v>
      </c>
      <c r="K102" s="173">
        <v>0</v>
      </c>
      <c r="L102" s="173">
        <v>4.1573127130622764E-5</v>
      </c>
      <c r="M102" s="174">
        <v>2.7853995177517252E-4</v>
      </c>
    </row>
    <row r="103" spans="1:13">
      <c r="A103" s="75"/>
      <c r="B103" s="171">
        <v>297120</v>
      </c>
      <c r="C103" s="71" t="s">
        <v>1038</v>
      </c>
      <c r="D103" s="173">
        <v>0</v>
      </c>
      <c r="E103" s="173">
        <v>5.3055515361983309E-3</v>
      </c>
      <c r="F103" s="173">
        <v>0</v>
      </c>
      <c r="G103" s="173">
        <v>0</v>
      </c>
      <c r="H103" s="173">
        <v>0</v>
      </c>
      <c r="I103" s="173">
        <v>9.64645733854242E-5</v>
      </c>
      <c r="J103" s="173">
        <v>0</v>
      </c>
      <c r="K103" s="173">
        <v>0</v>
      </c>
      <c r="L103" s="173">
        <v>1.446968600781363E-4</v>
      </c>
      <c r="M103" s="174">
        <v>1.1575748806250904E-3</v>
      </c>
    </row>
    <row r="104" spans="1:13">
      <c r="A104" s="75"/>
      <c r="B104" s="171">
        <v>297190</v>
      </c>
      <c r="C104" s="71" t="s">
        <v>1039</v>
      </c>
      <c r="D104" s="173">
        <v>0</v>
      </c>
      <c r="E104" s="173">
        <v>5.1390853371051396E-3</v>
      </c>
      <c r="F104" s="173">
        <v>0</v>
      </c>
      <c r="G104" s="173">
        <v>4.7147571900047143E-5</v>
      </c>
      <c r="H104" s="173">
        <v>0</v>
      </c>
      <c r="I104" s="173">
        <v>4.7147571900047143E-5</v>
      </c>
      <c r="J104" s="173">
        <v>4.7147571900047143E-5</v>
      </c>
      <c r="K104" s="173">
        <v>0</v>
      </c>
      <c r="L104" s="173">
        <v>1.8859028760018857E-4</v>
      </c>
      <c r="M104" s="174">
        <v>6.6006600660066007E-4</v>
      </c>
    </row>
    <row r="105" spans="1:13">
      <c r="A105" s="75"/>
      <c r="B105" s="171">
        <v>315000</v>
      </c>
      <c r="C105" s="71" t="s">
        <v>1040</v>
      </c>
      <c r="D105" s="173">
        <v>0</v>
      </c>
      <c r="E105" s="173">
        <v>3.6860042972512407E-3</v>
      </c>
      <c r="F105" s="173">
        <v>0</v>
      </c>
      <c r="G105" s="173">
        <v>5.5567903978661923E-5</v>
      </c>
      <c r="H105" s="173">
        <v>7.4090538638215902E-5</v>
      </c>
      <c r="I105" s="173">
        <v>1.8522634659553976E-4</v>
      </c>
      <c r="J105" s="173">
        <v>1.1113580795732385E-4</v>
      </c>
      <c r="K105" s="173">
        <v>3.7045269319107951E-5</v>
      </c>
      <c r="L105" s="173">
        <v>1.481810772764318E-4</v>
      </c>
      <c r="M105" s="174">
        <v>8.5204119433948287E-4</v>
      </c>
    </row>
    <row r="106" spans="1:13">
      <c r="A106" s="75"/>
      <c r="B106" s="171">
        <v>323010</v>
      </c>
      <c r="C106" s="71" t="s">
        <v>1041</v>
      </c>
      <c r="D106" s="173">
        <v>0</v>
      </c>
      <c r="E106" s="173">
        <v>8.2948935825847691E-4</v>
      </c>
      <c r="F106" s="173">
        <v>0</v>
      </c>
      <c r="G106" s="173">
        <v>0</v>
      </c>
      <c r="H106" s="173">
        <v>2.0231447762401877E-5</v>
      </c>
      <c r="I106" s="173">
        <v>2.0231447762401877E-5</v>
      </c>
      <c r="J106" s="173">
        <v>4.0462895524803753E-5</v>
      </c>
      <c r="K106" s="173">
        <v>2.0231447762401877E-5</v>
      </c>
      <c r="L106" s="173">
        <v>6.0694343287205633E-5</v>
      </c>
      <c r="M106" s="174">
        <v>5.6648053734725259E-4</v>
      </c>
    </row>
    <row r="107" spans="1:13">
      <c r="A107" s="75"/>
      <c r="B107" s="171">
        <v>361110</v>
      </c>
      <c r="C107" s="71" t="s">
        <v>1042</v>
      </c>
      <c r="D107" s="173">
        <v>5.6071412551024981E-6</v>
      </c>
      <c r="E107" s="173">
        <v>2.1419279594491543E-3</v>
      </c>
      <c r="F107" s="173">
        <v>1.1214282510204996E-5</v>
      </c>
      <c r="G107" s="173">
        <v>2.8035706275512496E-5</v>
      </c>
      <c r="H107" s="173">
        <v>4.4857130040819985E-5</v>
      </c>
      <c r="I107" s="173">
        <v>1.5699995514286997E-4</v>
      </c>
      <c r="J107" s="173">
        <v>1.6821423765307496E-5</v>
      </c>
      <c r="K107" s="173">
        <v>2.2428565020409992E-5</v>
      </c>
      <c r="L107" s="173">
        <v>6.1678553806127477E-5</v>
      </c>
      <c r="M107" s="174">
        <v>5.7753554927555744E-4</v>
      </c>
    </row>
    <row r="108" spans="1:13" ht="13.8" thickBot="1">
      <c r="A108" s="76"/>
      <c r="B108" s="184">
        <v>361200</v>
      </c>
      <c r="C108" s="74" t="s">
        <v>1043</v>
      </c>
      <c r="D108" s="186">
        <v>0</v>
      </c>
      <c r="E108" s="186">
        <v>1.5644071584520966E-3</v>
      </c>
      <c r="F108" s="186">
        <v>1.1460858303678361E-5</v>
      </c>
      <c r="G108" s="186">
        <v>1.7191287455517545E-5</v>
      </c>
      <c r="H108" s="186">
        <v>1.1460858303678361E-5</v>
      </c>
      <c r="I108" s="186">
        <v>5.7304291518391816E-5</v>
      </c>
      <c r="J108" s="186">
        <v>2.8652145759195908E-5</v>
      </c>
      <c r="K108" s="186">
        <v>0</v>
      </c>
      <c r="L108" s="186">
        <v>1.7191287455517545E-5</v>
      </c>
      <c r="M108" s="187">
        <v>1.8337373285885378E-4</v>
      </c>
    </row>
    <row r="109" spans="1:13">
      <c r="A109" s="107"/>
      <c r="B109" s="159"/>
      <c r="C109" s="108"/>
      <c r="D109" s="193"/>
      <c r="E109" s="188"/>
      <c r="F109" s="188"/>
      <c r="G109" s="188"/>
      <c r="H109" s="188"/>
      <c r="I109" s="188"/>
      <c r="J109" s="188"/>
      <c r="K109" s="188"/>
      <c r="L109" s="188"/>
      <c r="M109" s="189"/>
    </row>
    <row r="110" spans="1:13" ht="15.6">
      <c r="A110" s="170" t="s">
        <v>928</v>
      </c>
      <c r="B110" s="171"/>
      <c r="C110" s="71"/>
      <c r="D110" s="172"/>
      <c r="E110" s="173"/>
      <c r="F110" s="173"/>
      <c r="G110" s="173"/>
      <c r="H110" s="195" t="s">
        <v>1044</v>
      </c>
      <c r="I110" s="173"/>
      <c r="J110" s="173"/>
      <c r="K110" s="173"/>
      <c r="L110" s="173"/>
      <c r="M110" s="174"/>
    </row>
    <row r="111" spans="1:13" ht="12.75" customHeight="1">
      <c r="A111" s="170"/>
      <c r="B111" s="171"/>
      <c r="C111" s="71"/>
      <c r="D111" s="172"/>
      <c r="E111" s="173"/>
      <c r="F111" s="173"/>
      <c r="G111" s="173"/>
      <c r="H111" s="173"/>
      <c r="I111" s="173"/>
      <c r="J111" s="173"/>
      <c r="K111" s="173"/>
      <c r="L111" s="173"/>
      <c r="M111" s="174"/>
    </row>
    <row r="112" spans="1:13" ht="12.75" customHeight="1">
      <c r="A112" s="176" t="s">
        <v>1045</v>
      </c>
      <c r="B112" s="175" t="s">
        <v>1046</v>
      </c>
      <c r="C112" s="71"/>
      <c r="D112" s="196">
        <v>6.0168471720818289E-10</v>
      </c>
      <c r="E112" s="197">
        <v>1.0709987966305657E-7</v>
      </c>
      <c r="F112" s="197">
        <v>6.0168471720818289E-10</v>
      </c>
      <c r="G112" s="197">
        <v>1.8050541516245488E-9</v>
      </c>
      <c r="H112" s="197">
        <v>0</v>
      </c>
      <c r="I112" s="197">
        <v>3.0084235860409146E-9</v>
      </c>
      <c r="J112" s="197">
        <v>0</v>
      </c>
      <c r="K112" s="197">
        <v>0</v>
      </c>
      <c r="L112" s="197">
        <v>6.0168471720818289E-10</v>
      </c>
      <c r="M112" s="198">
        <v>1.8652226233453672E-8</v>
      </c>
    </row>
    <row r="113" spans="1:13" ht="12.75" customHeight="1">
      <c r="A113" s="199"/>
      <c r="B113" s="200" t="s">
        <v>1047</v>
      </c>
      <c r="C113" s="201" t="s">
        <v>1048</v>
      </c>
      <c r="D113" s="179">
        <v>6.0168471720818289E-10</v>
      </c>
      <c r="E113" s="180">
        <v>1.0709987966305657E-7</v>
      </c>
      <c r="F113" s="180">
        <v>6.0168471720818289E-10</v>
      </c>
      <c r="G113" s="180">
        <v>1.8050541516245488E-9</v>
      </c>
      <c r="H113" s="180">
        <v>0</v>
      </c>
      <c r="I113" s="180">
        <v>3.0084235860409146E-9</v>
      </c>
      <c r="J113" s="180">
        <v>0</v>
      </c>
      <c r="K113" s="180">
        <v>0</v>
      </c>
      <c r="L113" s="180">
        <v>6.0168471720818289E-10</v>
      </c>
      <c r="M113" s="181">
        <v>1.8652226233453672E-8</v>
      </c>
    </row>
    <row r="114" spans="1:13" ht="12.75" customHeight="1">
      <c r="A114" s="170"/>
      <c r="B114" s="202"/>
      <c r="C114" s="203"/>
      <c r="D114" s="172"/>
      <c r="E114" s="173"/>
      <c r="F114" s="173"/>
      <c r="G114" s="173"/>
      <c r="H114" s="197" t="s">
        <v>1044</v>
      </c>
      <c r="I114" s="173"/>
      <c r="J114" s="173"/>
      <c r="K114" s="173"/>
      <c r="L114" s="173"/>
      <c r="M114" s="174"/>
    </row>
    <row r="115" spans="1:13" ht="12.75" customHeight="1">
      <c r="A115" s="170"/>
      <c r="B115" s="202"/>
      <c r="C115" s="203"/>
      <c r="D115" s="172"/>
      <c r="E115" s="173"/>
      <c r="F115" s="173"/>
      <c r="G115" s="173"/>
      <c r="H115" s="173"/>
      <c r="I115" s="173"/>
      <c r="J115" s="173"/>
      <c r="K115" s="173"/>
      <c r="L115" s="173"/>
      <c r="M115" s="174"/>
    </row>
    <row r="116" spans="1:13">
      <c r="A116" s="75"/>
      <c r="B116" s="204" t="s">
        <v>1049</v>
      </c>
      <c r="C116" s="203"/>
      <c r="D116" s="196">
        <v>3.3712341781850496E-10</v>
      </c>
      <c r="E116" s="197">
        <v>3.081614514695516E-8</v>
      </c>
      <c r="F116" s="197">
        <v>9.1942750314137728E-11</v>
      </c>
      <c r="G116" s="197">
        <v>4.5971375157068864E-11</v>
      </c>
      <c r="H116" s="197">
        <v>1.5323791719022954E-11</v>
      </c>
      <c r="I116" s="197">
        <v>9.1942750314137722E-10</v>
      </c>
      <c r="J116" s="197">
        <v>2.7582825094241316E-10</v>
      </c>
      <c r="K116" s="197">
        <v>7.6618958595114777E-11</v>
      </c>
      <c r="L116" s="197">
        <v>7.6618958595114764E-11</v>
      </c>
      <c r="M116" s="198">
        <v>2.9881393852094761E-9</v>
      </c>
    </row>
    <row r="117" spans="1:13">
      <c r="A117" s="75"/>
      <c r="B117" s="202" t="s">
        <v>1050</v>
      </c>
      <c r="C117" s="203" t="s">
        <v>1051</v>
      </c>
      <c r="D117" s="172">
        <v>3.2179962609948206E-10</v>
      </c>
      <c r="E117" s="173">
        <v>2.7812681970026661E-8</v>
      </c>
      <c r="F117" s="173">
        <v>7.6618958595114777E-11</v>
      </c>
      <c r="G117" s="173">
        <v>4.5971375157068864E-11</v>
      </c>
      <c r="H117" s="173">
        <v>1.5323791719022954E-11</v>
      </c>
      <c r="I117" s="173">
        <v>6.8957062735603292E-10</v>
      </c>
      <c r="J117" s="173">
        <v>1.6856170890925248E-10</v>
      </c>
      <c r="K117" s="173">
        <v>7.6618958595114777E-11</v>
      </c>
      <c r="L117" s="173">
        <v>6.1295166876091814E-11</v>
      </c>
      <c r="M117" s="174">
        <v>2.7123111342670629E-9</v>
      </c>
    </row>
    <row r="118" spans="1:13" ht="13.8" thickBot="1">
      <c r="A118" s="76"/>
      <c r="B118" s="205" t="s">
        <v>1052</v>
      </c>
      <c r="C118" s="206" t="s">
        <v>1053</v>
      </c>
      <c r="D118" s="185">
        <v>1.5323791719022954E-11</v>
      </c>
      <c r="E118" s="186">
        <v>3.0034631769284989E-9</v>
      </c>
      <c r="F118" s="186">
        <v>1.5323791719022954E-11</v>
      </c>
      <c r="G118" s="186">
        <v>0</v>
      </c>
      <c r="H118" s="186">
        <v>0</v>
      </c>
      <c r="I118" s="186">
        <v>2.2985687578534431E-10</v>
      </c>
      <c r="J118" s="186">
        <v>1.0726654203316069E-10</v>
      </c>
      <c r="K118" s="186">
        <v>0</v>
      </c>
      <c r="L118" s="186">
        <v>1.5323791719022954E-11</v>
      </c>
      <c r="M118" s="187">
        <v>2.7582825094241316E-10</v>
      </c>
    </row>
    <row r="119" spans="1:13" ht="12.75" customHeight="1">
      <c r="A119" s="170"/>
      <c r="B119" s="171"/>
      <c r="C119" s="71"/>
      <c r="D119" s="172"/>
      <c r="E119" s="173"/>
      <c r="F119" s="173"/>
      <c r="G119" s="173"/>
      <c r="H119" s="195" t="s">
        <v>1054</v>
      </c>
      <c r="I119" s="173"/>
      <c r="J119" s="173"/>
      <c r="K119" s="173"/>
      <c r="L119" s="173"/>
      <c r="M119" s="174"/>
    </row>
    <row r="120" spans="1:13" ht="12.75" customHeight="1">
      <c r="A120" s="170"/>
      <c r="B120" s="171"/>
      <c r="C120" s="71"/>
      <c r="D120" s="172"/>
      <c r="E120" s="173"/>
      <c r="F120" s="173"/>
      <c r="G120" s="173"/>
      <c r="H120" s="195"/>
      <c r="I120" s="173"/>
      <c r="J120" s="173"/>
      <c r="K120" s="173"/>
      <c r="L120" s="173"/>
      <c r="M120" s="174"/>
    </row>
    <row r="121" spans="1:13" ht="12.75" customHeight="1">
      <c r="A121" s="176" t="s">
        <v>1055</v>
      </c>
      <c r="B121" s="175" t="s">
        <v>1056</v>
      </c>
      <c r="C121" s="71"/>
      <c r="D121" s="196">
        <v>5.6001493373156615E-7</v>
      </c>
      <c r="E121" s="197">
        <v>6.2028320755220151E-5</v>
      </c>
      <c r="F121" s="197">
        <v>9.7335928958105559E-7</v>
      </c>
      <c r="G121" s="197">
        <v>2.933411557641537E-7</v>
      </c>
      <c r="H121" s="197">
        <v>7.0668551161364308E-7</v>
      </c>
      <c r="I121" s="197">
        <v>1.0173604629456785E-5</v>
      </c>
      <c r="J121" s="197">
        <v>1.0000266673777968E-6</v>
      </c>
      <c r="K121" s="197">
        <v>1.7333795567881809E-7</v>
      </c>
      <c r="L121" s="197">
        <v>1.6267100456012163E-6</v>
      </c>
      <c r="M121" s="198">
        <v>5.8801568041814451E-6</v>
      </c>
    </row>
    <row r="122" spans="1:13" ht="12.75" customHeight="1">
      <c r="A122" s="170"/>
      <c r="B122" s="202" t="s">
        <v>1057</v>
      </c>
      <c r="C122" s="203" t="s">
        <v>1058</v>
      </c>
      <c r="D122" s="172">
        <v>0</v>
      </c>
      <c r="E122" s="173">
        <v>9.0669084508920249E-7</v>
      </c>
      <c r="F122" s="173">
        <v>2.4000640017067122E-7</v>
      </c>
      <c r="G122" s="173">
        <v>1.0666951118696499E-7</v>
      </c>
      <c r="H122" s="173">
        <v>1.0666951118696499E-7</v>
      </c>
      <c r="I122" s="173">
        <v>3.2000853356089497E-6</v>
      </c>
      <c r="J122" s="173">
        <v>2.4000640017067122E-7</v>
      </c>
      <c r="K122" s="173">
        <v>5.3334755593482494E-8</v>
      </c>
      <c r="L122" s="173">
        <v>4.5334542254460125E-7</v>
      </c>
      <c r="M122" s="174">
        <v>1.2533667564468385E-6</v>
      </c>
    </row>
    <row r="123" spans="1:13" ht="12.75" customHeight="1">
      <c r="A123" s="170"/>
      <c r="B123" s="207">
        <v>611020</v>
      </c>
      <c r="C123" s="203" t="s">
        <v>1059</v>
      </c>
      <c r="D123" s="172">
        <v>5.3334755593482494E-8</v>
      </c>
      <c r="E123" s="173">
        <v>2.7734072908610894E-6</v>
      </c>
      <c r="F123" s="173">
        <v>1.8667164457718874E-7</v>
      </c>
      <c r="G123" s="173">
        <v>1.600042667804475E-7</v>
      </c>
      <c r="H123" s="173">
        <v>1.3333688898370625E-7</v>
      </c>
      <c r="I123" s="173">
        <v>1.2533667564468385E-6</v>
      </c>
      <c r="J123" s="173">
        <v>1.0666951118696499E-7</v>
      </c>
      <c r="K123" s="173">
        <v>5.3334755593482494E-8</v>
      </c>
      <c r="L123" s="173">
        <v>3.4667591135763618E-7</v>
      </c>
      <c r="M123" s="174">
        <v>1.5200405344142511E-6</v>
      </c>
    </row>
    <row r="124" spans="1:13" ht="12.75" customHeight="1">
      <c r="A124" s="170"/>
      <c r="B124" s="202" t="s">
        <v>1060</v>
      </c>
      <c r="C124" s="203" t="s">
        <v>1061</v>
      </c>
      <c r="D124" s="172">
        <v>0</v>
      </c>
      <c r="E124" s="173">
        <v>3.2000853356089497E-6</v>
      </c>
      <c r="F124" s="173">
        <v>1.0666951118696499E-7</v>
      </c>
      <c r="G124" s="173">
        <v>2.6667377796741247E-8</v>
      </c>
      <c r="H124" s="173">
        <v>2.6667377796741247E-8</v>
      </c>
      <c r="I124" s="173">
        <v>3.2000853356089499E-7</v>
      </c>
      <c r="J124" s="173">
        <v>1.3333688898370625E-7</v>
      </c>
      <c r="K124" s="173">
        <v>2.6667377796741247E-8</v>
      </c>
      <c r="L124" s="173">
        <v>2.6667377796741247E-8</v>
      </c>
      <c r="M124" s="174">
        <v>2.6667377796741251E-7</v>
      </c>
    </row>
    <row r="125" spans="1:13" ht="13.8" thickBot="1">
      <c r="A125" s="76" t="s">
        <v>1062</v>
      </c>
      <c r="B125" s="205"/>
      <c r="C125" s="206" t="s">
        <v>1063</v>
      </c>
      <c r="D125" s="185">
        <v>5.0668017813808367E-7</v>
      </c>
      <c r="E125" s="186">
        <v>5.5148137283660901E-5</v>
      </c>
      <c r="F125" s="186">
        <v>4.4001173364623057E-7</v>
      </c>
      <c r="G125" s="186">
        <v>0</v>
      </c>
      <c r="H125" s="186">
        <v>4.4001173364623057E-7</v>
      </c>
      <c r="I125" s="186">
        <v>5.4001440038401023E-6</v>
      </c>
      <c r="J125" s="186">
        <v>5.2001386703645429E-7</v>
      </c>
      <c r="K125" s="186">
        <v>4.0001066695111874E-8</v>
      </c>
      <c r="L125" s="186">
        <v>8.0002133390223742E-7</v>
      </c>
      <c r="M125" s="187">
        <v>2.8400757353529428E-6</v>
      </c>
    </row>
    <row r="126" spans="1:13">
      <c r="A126" s="70"/>
      <c r="B126" s="202"/>
      <c r="C126" s="208"/>
      <c r="D126" s="173"/>
      <c r="E126" s="173"/>
      <c r="F126" s="173"/>
      <c r="G126" s="173"/>
      <c r="H126" s="173"/>
      <c r="I126" s="173"/>
      <c r="J126" s="173"/>
      <c r="K126" s="173"/>
      <c r="L126" s="173"/>
      <c r="M126" s="173"/>
    </row>
    <row r="129" spans="1:3" ht="15.6">
      <c r="B129" s="123" t="s">
        <v>1064</v>
      </c>
    </row>
    <row r="130" spans="1:3">
      <c r="A130" s="70"/>
      <c r="B130"/>
    </row>
    <row r="131" spans="1:3">
      <c r="A131" s="70"/>
      <c r="B131"/>
    </row>
    <row r="132" spans="1:3">
      <c r="A132" s="70"/>
      <c r="B132" s="210" t="s">
        <v>950</v>
      </c>
      <c r="C132" s="211" t="s">
        <v>1065</v>
      </c>
    </row>
    <row r="133" spans="1:3">
      <c r="A133" s="70"/>
      <c r="B133" s="212"/>
      <c r="C133" t="s">
        <v>1066</v>
      </c>
    </row>
    <row r="134" spans="1:3">
      <c r="A134" s="70"/>
      <c r="B134" s="212"/>
    </row>
    <row r="135" spans="1:3">
      <c r="A135" s="70"/>
      <c r="B135" s="212" t="s">
        <v>956</v>
      </c>
      <c r="C135" t="s">
        <v>1067</v>
      </c>
    </row>
    <row r="136" spans="1:3">
      <c r="A136" s="70"/>
      <c r="C136" t="s">
        <v>1068</v>
      </c>
    </row>
    <row r="137" spans="1:3">
      <c r="A137" s="70"/>
      <c r="C137" t="s">
        <v>1069</v>
      </c>
    </row>
    <row r="138" spans="1:3">
      <c r="A138" s="70"/>
      <c r="C138" t="s">
        <v>1070</v>
      </c>
    </row>
    <row r="139" spans="1:3">
      <c r="A139" s="70"/>
      <c r="C139" t="s">
        <v>1071</v>
      </c>
    </row>
    <row r="140" spans="1:3">
      <c r="A140" s="70"/>
    </row>
    <row r="141" spans="1:3">
      <c r="A141" s="70"/>
      <c r="B141" s="213" t="s">
        <v>960</v>
      </c>
      <c r="C141" t="s">
        <v>1072</v>
      </c>
    </row>
    <row r="142" spans="1:3">
      <c r="A142" s="70"/>
      <c r="B142"/>
      <c r="C142" t="s">
        <v>1073</v>
      </c>
    </row>
    <row r="143" spans="1:3">
      <c r="A143" s="70"/>
      <c r="B143" s="212"/>
    </row>
    <row r="144" spans="1:3">
      <c r="A144" s="70"/>
      <c r="B144" s="212" t="s">
        <v>965</v>
      </c>
      <c r="C144" t="s">
        <v>1074</v>
      </c>
    </row>
    <row r="145" spans="1:3">
      <c r="A145" s="70"/>
      <c r="B145" s="212"/>
    </row>
    <row r="146" spans="1:3">
      <c r="A146" s="70"/>
      <c r="B146" s="175" t="s">
        <v>984</v>
      </c>
      <c r="C146" t="s">
        <v>1075</v>
      </c>
    </row>
    <row r="147" spans="1:3">
      <c r="A147" s="70"/>
      <c r="B147" s="175"/>
    </row>
    <row r="148" spans="1:3">
      <c r="A148" s="70"/>
      <c r="B148" s="210" t="s">
        <v>991</v>
      </c>
      <c r="C148" s="211" t="s">
        <v>1076</v>
      </c>
    </row>
    <row r="149" spans="1:3">
      <c r="A149" s="70"/>
      <c r="B149" s="212"/>
    </row>
    <row r="150" spans="1:3">
      <c r="A150" s="70"/>
      <c r="B150" s="175" t="s">
        <v>1025</v>
      </c>
      <c r="C150" s="70" t="s">
        <v>1077</v>
      </c>
    </row>
    <row r="151" spans="1:3">
      <c r="A151" s="70"/>
      <c r="B151" s="212"/>
    </row>
    <row r="152" spans="1:3">
      <c r="A152" s="70"/>
      <c r="B152" s="212" t="s">
        <v>1045</v>
      </c>
      <c r="C152" t="s">
        <v>1078</v>
      </c>
    </row>
    <row r="153" spans="1:3">
      <c r="A153" s="70"/>
      <c r="B153" s="212"/>
    </row>
    <row r="154" spans="1:3">
      <c r="A154" s="70"/>
      <c r="B154" s="212" t="s">
        <v>1055</v>
      </c>
      <c r="C154" t="s">
        <v>1079</v>
      </c>
    </row>
    <row r="155" spans="1:3">
      <c r="A155" s="70"/>
      <c r="B155" s="212"/>
      <c r="C155" t="s">
        <v>1080</v>
      </c>
    </row>
    <row r="156" spans="1:3">
      <c r="A156" s="70"/>
      <c r="B156" s="210"/>
      <c r="C156" s="211" t="s">
        <v>1081</v>
      </c>
    </row>
    <row r="157" spans="1:3">
      <c r="A157" s="70"/>
      <c r="B157" s="210"/>
      <c r="C157" s="211" t="s">
        <v>1082</v>
      </c>
    </row>
    <row r="158" spans="1:3">
      <c r="A158" s="70"/>
      <c r="B158"/>
    </row>
    <row r="159" spans="1:3">
      <c r="B159" s="212" t="s">
        <v>1062</v>
      </c>
      <c r="C159" t="s">
        <v>1083</v>
      </c>
    </row>
    <row r="160" spans="1:3">
      <c r="B160" s="212"/>
      <c r="C160" t="s">
        <v>1084</v>
      </c>
    </row>
    <row r="161" spans="2:2">
      <c r="B161" s="212"/>
    </row>
    <row r="172" spans="2:2">
      <c r="B172" s="212"/>
    </row>
    <row r="173" spans="2:2">
      <c r="B173" s="212"/>
    </row>
    <row r="174" spans="2:2">
      <c r="B174" s="212"/>
    </row>
    <row r="175" spans="2:2">
      <c r="B175" s="212"/>
    </row>
    <row r="176" spans="2:2">
      <c r="B176" s="212"/>
    </row>
  </sheetData>
  <hyperlinks>
    <hyperlink ref="A1" location="'About og Fane-Link'!A1" display="Til Forsiden"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32"/>
  <sheetViews>
    <sheetView topLeftCell="A133" workbookViewId="0">
      <selection activeCell="J253" sqref="J252:J253"/>
    </sheetView>
  </sheetViews>
  <sheetFormatPr defaultRowHeight="13.2"/>
  <cols>
    <col min="1" max="1" width="28.33203125" customWidth="1"/>
    <col min="2" max="2" width="2.5546875" customWidth="1"/>
    <col min="3" max="3" width="12.5546875" customWidth="1"/>
    <col min="4" max="4" width="46.109375" customWidth="1"/>
    <col min="5" max="5" width="17" customWidth="1"/>
    <col min="6" max="6" width="12.6640625" customWidth="1"/>
    <col min="7" max="7" width="11.6640625" customWidth="1"/>
    <col min="8" max="8" width="12" customWidth="1"/>
    <col min="9" max="9" width="12.5546875" customWidth="1"/>
    <col min="10" max="10" width="15.5546875" customWidth="1"/>
  </cols>
  <sheetData>
    <row r="1" spans="1:11" ht="22.5" customHeight="1">
      <c r="A1" s="44" t="s">
        <v>2527</v>
      </c>
    </row>
    <row r="2" spans="1:11" ht="15.75" customHeight="1"/>
    <row r="3" spans="1:11" ht="15.6">
      <c r="D3" s="123" t="s">
        <v>868</v>
      </c>
      <c r="J3" s="70"/>
    </row>
    <row r="4" spans="1:11" ht="93" customHeight="1">
      <c r="C4" s="145" t="s">
        <v>6</v>
      </c>
      <c r="D4" s="146" t="s">
        <v>869</v>
      </c>
      <c r="E4" s="145" t="s">
        <v>870</v>
      </c>
      <c r="F4" s="145" t="s">
        <v>871</v>
      </c>
      <c r="G4" s="145" t="s">
        <v>872</v>
      </c>
      <c r="H4" s="145" t="s">
        <v>873</v>
      </c>
    </row>
    <row r="5" spans="1:11" ht="14.25" customHeight="1">
      <c r="A5" t="s">
        <v>874</v>
      </c>
      <c r="C5" s="147"/>
      <c r="D5" s="70"/>
      <c r="E5" s="147"/>
      <c r="F5" s="147"/>
      <c r="G5" s="147"/>
      <c r="H5" s="147"/>
    </row>
    <row r="6" spans="1:11">
      <c r="C6" s="148" t="s">
        <v>519</v>
      </c>
      <c r="D6" s="148" t="s">
        <v>875</v>
      </c>
      <c r="E6" s="149">
        <v>9.5000000000000001E-2</v>
      </c>
      <c r="F6" s="149">
        <v>4.0000000000000003E-5</v>
      </c>
      <c r="G6" s="149">
        <v>4.0000000000000001E-3</v>
      </c>
      <c r="H6" s="149">
        <v>0.04</v>
      </c>
      <c r="K6" s="686"/>
    </row>
    <row r="7" spans="1:11">
      <c r="C7" s="148" t="s">
        <v>519</v>
      </c>
      <c r="D7" s="148" t="s">
        <v>876</v>
      </c>
      <c r="E7" s="149">
        <v>0.127</v>
      </c>
      <c r="F7" s="149">
        <v>4.0000000000000003E-5</v>
      </c>
      <c r="G7" s="149">
        <v>4.0000000000000001E-3</v>
      </c>
      <c r="H7" s="149">
        <v>4.8000000000000001E-2</v>
      </c>
    </row>
    <row r="8" spans="1:11">
      <c r="C8" s="148" t="s">
        <v>519</v>
      </c>
      <c r="D8" s="148" t="s">
        <v>877</v>
      </c>
      <c r="E8" s="149">
        <v>0.14000000000000001</v>
      </c>
      <c r="F8" s="149">
        <v>4.0000000000000003E-5</v>
      </c>
      <c r="G8" s="149">
        <v>4.0000000000000001E-3</v>
      </c>
      <c r="H8" s="149">
        <v>0.03</v>
      </c>
    </row>
    <row r="9" spans="1:11">
      <c r="C9" s="148" t="s">
        <v>519</v>
      </c>
      <c r="D9" s="148" t="s">
        <v>878</v>
      </c>
      <c r="E9" s="149">
        <v>0.115</v>
      </c>
      <c r="F9" s="149">
        <v>4.0000000000000003E-5</v>
      </c>
      <c r="G9" s="149">
        <v>4.0000000000000001E-3</v>
      </c>
      <c r="H9" s="149">
        <v>0.03</v>
      </c>
    </row>
    <row r="10" spans="1:11">
      <c r="C10" s="148" t="s">
        <v>519</v>
      </c>
      <c r="D10" s="148" t="s">
        <v>879</v>
      </c>
      <c r="E10" s="149">
        <v>7.4999999999999997E-2</v>
      </c>
      <c r="F10" s="149">
        <v>4.0000000000000003E-5</v>
      </c>
      <c r="G10" s="149">
        <v>4.0000000000000001E-3</v>
      </c>
      <c r="H10" s="149">
        <v>0.04</v>
      </c>
    </row>
    <row r="11" spans="1:11">
      <c r="C11" s="148" t="s">
        <v>519</v>
      </c>
      <c r="D11" s="148" t="s">
        <v>880</v>
      </c>
      <c r="E11" s="149">
        <v>0.08</v>
      </c>
      <c r="F11" s="149">
        <v>4.0000000000000003E-5</v>
      </c>
      <c r="G11" s="149">
        <v>4.0000000000000001E-3</v>
      </c>
      <c r="H11" s="149">
        <v>0.03</v>
      </c>
    </row>
    <row r="12" spans="1:11">
      <c r="C12" s="148" t="s">
        <v>519</v>
      </c>
      <c r="D12" s="148" t="s">
        <v>881</v>
      </c>
      <c r="E12" s="149">
        <v>0.11</v>
      </c>
      <c r="F12" s="149">
        <v>4.0000000000000003E-5</v>
      </c>
      <c r="G12" s="149">
        <v>4.0000000000000001E-3</v>
      </c>
      <c r="H12" s="149">
        <v>0.04</v>
      </c>
    </row>
    <row r="13" spans="1:11">
      <c r="C13" s="148" t="s">
        <v>519</v>
      </c>
      <c r="D13" s="148" t="s">
        <v>882</v>
      </c>
      <c r="E13" s="149">
        <v>8.1000000000000003E-2</v>
      </c>
      <c r="F13" s="149">
        <v>4.0000000000000003E-5</v>
      </c>
      <c r="G13" s="149">
        <v>4.0000000000000001E-3</v>
      </c>
      <c r="H13" s="149">
        <v>4.5999999999999999E-2</v>
      </c>
    </row>
    <row r="14" spans="1:11">
      <c r="C14" s="148" t="s">
        <v>519</v>
      </c>
      <c r="D14" s="148" t="s">
        <v>883</v>
      </c>
      <c r="E14" s="149">
        <v>8.4000000000000005E-2</v>
      </c>
      <c r="F14" s="149">
        <v>4.0000000000000003E-5</v>
      </c>
      <c r="G14" s="149">
        <v>4.0000000000000001E-3</v>
      </c>
      <c r="H14" s="149">
        <v>4.4999999999999998E-2</v>
      </c>
    </row>
    <row r="15" spans="1:11">
      <c r="C15" s="148" t="s">
        <v>519</v>
      </c>
      <c r="D15" s="148" t="s">
        <v>884</v>
      </c>
      <c r="E15" s="149">
        <v>0.08</v>
      </c>
      <c r="F15" s="149">
        <v>4.0000000000000003E-5</v>
      </c>
      <c r="G15" s="149">
        <v>4.0000000000000001E-3</v>
      </c>
      <c r="H15" s="149">
        <v>0.04</v>
      </c>
    </row>
    <row r="16" spans="1:11">
      <c r="C16" s="148" t="s">
        <v>519</v>
      </c>
      <c r="D16" s="148" t="s">
        <v>885</v>
      </c>
      <c r="E16" s="149">
        <v>0.09</v>
      </c>
      <c r="F16" s="149">
        <v>4.0000000000000003E-5</v>
      </c>
      <c r="G16" s="149">
        <v>4.0000000000000001E-3</v>
      </c>
      <c r="H16" s="149">
        <v>0.04</v>
      </c>
    </row>
    <row r="17" spans="1:8">
      <c r="C17" s="148" t="s">
        <v>519</v>
      </c>
      <c r="D17" s="148" t="s">
        <v>886</v>
      </c>
      <c r="E17" s="149">
        <v>0.11</v>
      </c>
      <c r="F17" s="149">
        <v>3.0000000000000001E-5</v>
      </c>
      <c r="G17" s="149">
        <v>4.0000000000000001E-3</v>
      </c>
      <c r="H17" s="149">
        <v>0.03</v>
      </c>
    </row>
    <row r="18" spans="1:8">
      <c r="C18" s="148" t="s">
        <v>519</v>
      </c>
      <c r="D18" s="148" t="s">
        <v>887</v>
      </c>
      <c r="E18" s="149">
        <v>6.5000000000000002E-2</v>
      </c>
      <c r="F18" s="149">
        <v>2.0000000000000002E-5</v>
      </c>
      <c r="G18" s="149">
        <v>4.0000000000000001E-3</v>
      </c>
      <c r="H18" s="149">
        <v>0.02</v>
      </c>
    </row>
    <row r="19" spans="1:8">
      <c r="C19" s="148" t="s">
        <v>519</v>
      </c>
      <c r="D19" s="148" t="s">
        <v>888</v>
      </c>
      <c r="E19" s="149">
        <v>0.09</v>
      </c>
      <c r="F19" s="149">
        <v>4.0000000000000003E-5</v>
      </c>
      <c r="G19" s="149">
        <v>4.0000000000000001E-3</v>
      </c>
      <c r="H19" s="149">
        <v>0.04</v>
      </c>
    </row>
    <row r="20" spans="1:8">
      <c r="C20" s="148" t="s">
        <v>519</v>
      </c>
      <c r="D20" s="150" t="s">
        <v>889</v>
      </c>
      <c r="E20" s="151">
        <v>0.1</v>
      </c>
      <c r="F20" s="151">
        <v>4.0000000000000003E-5</v>
      </c>
      <c r="G20" s="149">
        <v>4.0000000000000001E-3</v>
      </c>
      <c r="H20" s="151">
        <v>0.04</v>
      </c>
    </row>
    <row r="21" spans="1:8">
      <c r="C21" s="148" t="s">
        <v>519</v>
      </c>
      <c r="D21" s="148" t="s">
        <v>890</v>
      </c>
      <c r="E21" s="149">
        <v>8.1000000000000003E-2</v>
      </c>
      <c r="F21" s="149">
        <v>4.0000000000000003E-5</v>
      </c>
      <c r="G21" s="149">
        <v>4.0000000000000001E-3</v>
      </c>
      <c r="H21" s="149">
        <v>4.5999999999999999E-2</v>
      </c>
    </row>
    <row r="22" spans="1:8">
      <c r="C22" s="148"/>
      <c r="D22" s="148"/>
      <c r="E22" s="149"/>
      <c r="F22" s="149"/>
      <c r="H22" s="149"/>
    </row>
    <row r="23" spans="1:8">
      <c r="A23" t="s">
        <v>891</v>
      </c>
      <c r="C23" s="148"/>
      <c r="D23" s="148"/>
      <c r="E23" s="149"/>
      <c r="F23" s="149"/>
      <c r="H23" s="149"/>
    </row>
    <row r="24" spans="1:8">
      <c r="C24" s="148" t="s">
        <v>519</v>
      </c>
      <c r="D24" s="148" t="s">
        <v>10</v>
      </c>
      <c r="E24" s="149">
        <v>0.17</v>
      </c>
      <c r="F24" s="149">
        <v>1.5E-3</v>
      </c>
      <c r="G24" s="149">
        <v>0.03</v>
      </c>
      <c r="H24" s="149">
        <v>0</v>
      </c>
    </row>
    <row r="25" spans="1:8">
      <c r="C25" s="148" t="s">
        <v>519</v>
      </c>
      <c r="D25" s="148" t="s">
        <v>892</v>
      </c>
      <c r="E25" s="149">
        <v>0.2</v>
      </c>
      <c r="F25" s="149">
        <v>1.4E-2</v>
      </c>
      <c r="G25" s="149">
        <v>0</v>
      </c>
      <c r="H25" s="149">
        <v>0</v>
      </c>
    </row>
    <row r="26" spans="1:8">
      <c r="C26" s="148" t="s">
        <v>519</v>
      </c>
      <c r="D26" s="148" t="s">
        <v>21</v>
      </c>
      <c r="E26" s="149">
        <v>66</v>
      </c>
      <c r="F26" s="149">
        <v>90</v>
      </c>
      <c r="G26" s="149">
        <v>0.05</v>
      </c>
      <c r="H26" s="149">
        <v>0</v>
      </c>
    </row>
    <row r="27" spans="1:8">
      <c r="C27" s="148" t="s">
        <v>519</v>
      </c>
      <c r="D27" s="148" t="s">
        <v>40</v>
      </c>
      <c r="E27" s="149">
        <v>0.01</v>
      </c>
      <c r="F27" s="149">
        <v>0</v>
      </c>
      <c r="G27" s="149">
        <v>7.0000000000000001E-3</v>
      </c>
      <c r="H27" s="149">
        <v>0</v>
      </c>
    </row>
    <row r="28" spans="1:8">
      <c r="C28" s="148" t="s">
        <v>519</v>
      </c>
      <c r="D28" s="148" t="s">
        <v>12</v>
      </c>
      <c r="E28" s="149">
        <v>0.09</v>
      </c>
      <c r="F28" s="149">
        <v>1.7000000000000001E-2</v>
      </c>
      <c r="G28" s="149">
        <v>0.05</v>
      </c>
      <c r="H28" s="149">
        <v>0</v>
      </c>
    </row>
    <row r="29" spans="1:8">
      <c r="C29" s="148" t="s">
        <v>519</v>
      </c>
      <c r="D29" s="148" t="s">
        <v>45</v>
      </c>
      <c r="E29" s="149">
        <v>0.16</v>
      </c>
      <c r="F29" s="149">
        <v>0.03</v>
      </c>
      <c r="G29" s="149">
        <v>0</v>
      </c>
      <c r="H29" s="149">
        <v>0</v>
      </c>
    </row>
    <row r="30" spans="1:8">
      <c r="C30" s="148" t="s">
        <v>519</v>
      </c>
      <c r="D30" s="148" t="s">
        <v>47</v>
      </c>
      <c r="E30" s="149">
        <v>0.08</v>
      </c>
      <c r="F30" s="149">
        <v>2.3E-2</v>
      </c>
      <c r="G30" s="149">
        <v>0.05</v>
      </c>
      <c r="H30" s="149">
        <v>0</v>
      </c>
    </row>
    <row r="31" spans="1:8">
      <c r="C31" s="148" t="s">
        <v>519</v>
      </c>
      <c r="D31" s="148" t="s">
        <v>893</v>
      </c>
      <c r="E31" s="149">
        <v>0.19</v>
      </c>
      <c r="F31" s="149">
        <v>0.106</v>
      </c>
      <c r="G31" s="149">
        <v>0.04</v>
      </c>
      <c r="H31" s="149">
        <v>0</v>
      </c>
    </row>
    <row r="32" spans="1:8">
      <c r="C32" s="148" t="s">
        <v>519</v>
      </c>
      <c r="D32" s="148" t="s">
        <v>736</v>
      </c>
      <c r="E32" s="149">
        <v>0.04</v>
      </c>
      <c r="F32" s="149">
        <v>0</v>
      </c>
      <c r="G32" s="149">
        <v>0</v>
      </c>
      <c r="H32" s="149">
        <v>0.02</v>
      </c>
    </row>
    <row r="33" spans="1:8">
      <c r="C33" s="148" t="s">
        <v>519</v>
      </c>
      <c r="D33" s="148" t="s">
        <v>187</v>
      </c>
      <c r="E33" s="149">
        <v>0.04</v>
      </c>
      <c r="F33" s="149">
        <v>0</v>
      </c>
      <c r="G33" s="149">
        <v>0</v>
      </c>
      <c r="H33" s="149">
        <v>0.02</v>
      </c>
    </row>
    <row r="34" spans="1:8">
      <c r="C34" s="148" t="s">
        <v>519</v>
      </c>
      <c r="D34" s="148" t="s">
        <v>74</v>
      </c>
      <c r="E34" s="149">
        <v>4.5999999999999999E-2</v>
      </c>
      <c r="F34" s="149">
        <v>1.2E-2</v>
      </c>
      <c r="G34" s="149">
        <v>0.04</v>
      </c>
      <c r="H34" s="149">
        <v>0</v>
      </c>
    </row>
    <row r="35" spans="1:8">
      <c r="C35" s="148" t="s">
        <v>519</v>
      </c>
      <c r="D35" s="148" t="s">
        <v>894</v>
      </c>
      <c r="E35" s="149">
        <v>0.22</v>
      </c>
      <c r="F35" s="149">
        <v>0</v>
      </c>
      <c r="G35" s="149">
        <v>0</v>
      </c>
      <c r="H35" s="149">
        <v>0</v>
      </c>
    </row>
    <row r="36" spans="1:8">
      <c r="C36" s="148" t="s">
        <v>519</v>
      </c>
      <c r="D36" s="148" t="s">
        <v>76</v>
      </c>
      <c r="E36" s="149">
        <v>0.03</v>
      </c>
      <c r="F36" s="149">
        <v>1.2999999999999999E-4</v>
      </c>
      <c r="G36" s="149">
        <v>0.02</v>
      </c>
      <c r="H36" s="149">
        <v>0</v>
      </c>
    </row>
    <row r="37" spans="1:8">
      <c r="C37" s="148" t="s">
        <v>519</v>
      </c>
      <c r="D37" s="148" t="s">
        <v>424</v>
      </c>
      <c r="E37" s="149">
        <v>0.04</v>
      </c>
      <c r="F37" s="149">
        <v>1.2999999999999999E-4</v>
      </c>
      <c r="G37" s="149">
        <v>0.02</v>
      </c>
      <c r="H37" s="149">
        <v>0</v>
      </c>
    </row>
    <row r="38" spans="1:8">
      <c r="C38" s="148" t="s">
        <v>519</v>
      </c>
      <c r="D38" s="148" t="s">
        <v>20</v>
      </c>
      <c r="E38" s="149">
        <v>1.7</v>
      </c>
      <c r="F38" s="149">
        <v>19</v>
      </c>
      <c r="G38" s="149">
        <v>0.05</v>
      </c>
      <c r="H38" s="149">
        <v>0</v>
      </c>
    </row>
    <row r="39" spans="1:8">
      <c r="C39" s="148" t="s">
        <v>519</v>
      </c>
      <c r="D39" s="148" t="s">
        <v>78</v>
      </c>
      <c r="E39" s="149">
        <v>0.04</v>
      </c>
      <c r="F39" s="149">
        <v>0</v>
      </c>
      <c r="G39" s="149">
        <v>0</v>
      </c>
      <c r="H39" s="149">
        <v>0.02</v>
      </c>
    </row>
    <row r="40" spans="1:8">
      <c r="C40" s="148" t="s">
        <v>519</v>
      </c>
      <c r="D40" s="148" t="s">
        <v>895</v>
      </c>
      <c r="E40" s="149">
        <v>7.0000000000000007E-2</v>
      </c>
      <c r="F40" s="149">
        <v>3.3000000000000002E-2</v>
      </c>
      <c r="G40" s="149">
        <v>0.04</v>
      </c>
      <c r="H40" s="149">
        <v>0</v>
      </c>
    </row>
    <row r="41" spans="1:8">
      <c r="C41" s="148"/>
      <c r="D41" s="148"/>
      <c r="E41" s="149"/>
      <c r="F41" s="149"/>
      <c r="G41" s="149"/>
      <c r="H41" s="149"/>
    </row>
    <row r="42" spans="1:8">
      <c r="A42" t="s">
        <v>896</v>
      </c>
      <c r="C42" s="148"/>
      <c r="D42" s="148"/>
      <c r="E42" s="149"/>
      <c r="F42" s="149"/>
      <c r="G42" s="149"/>
      <c r="H42" s="149"/>
    </row>
    <row r="43" spans="1:8">
      <c r="C43" s="148" t="s">
        <v>897</v>
      </c>
      <c r="D43" s="148" t="s">
        <v>898</v>
      </c>
      <c r="E43" s="149">
        <v>0.15</v>
      </c>
      <c r="F43" s="149">
        <v>0</v>
      </c>
      <c r="G43" s="149">
        <v>0</v>
      </c>
      <c r="H43" s="149">
        <v>0</v>
      </c>
    </row>
    <row r="44" spans="1:8">
      <c r="C44" s="148" t="s">
        <v>897</v>
      </c>
      <c r="D44" s="148" t="s">
        <v>899</v>
      </c>
      <c r="E44" s="149">
        <v>1.6E-2</v>
      </c>
      <c r="F44" s="149">
        <v>0</v>
      </c>
      <c r="G44" s="149">
        <v>0</v>
      </c>
      <c r="H44" s="149">
        <v>0</v>
      </c>
    </row>
    <row r="45" spans="1:8">
      <c r="C45" s="148" t="s">
        <v>897</v>
      </c>
      <c r="D45" s="148" t="s">
        <v>900</v>
      </c>
      <c r="E45" s="149">
        <v>1.9E-2</v>
      </c>
      <c r="F45" s="149">
        <v>0</v>
      </c>
      <c r="G45" s="149">
        <v>0</v>
      </c>
      <c r="H45" s="149">
        <v>0</v>
      </c>
    </row>
    <row r="46" spans="1:8">
      <c r="C46" s="148" t="s">
        <v>897</v>
      </c>
      <c r="D46" s="148" t="s">
        <v>901</v>
      </c>
      <c r="E46" s="149">
        <v>1.4999999999999999E-2</v>
      </c>
      <c r="F46" s="149">
        <v>0</v>
      </c>
      <c r="G46" s="149">
        <v>0</v>
      </c>
      <c r="H46" s="149">
        <v>0</v>
      </c>
    </row>
    <row r="47" spans="1:8">
      <c r="C47" s="148" t="s">
        <v>897</v>
      </c>
      <c r="D47" s="148" t="s">
        <v>902</v>
      </c>
      <c r="E47" s="149">
        <v>3.9E-2</v>
      </c>
      <c r="F47" s="149">
        <v>0</v>
      </c>
      <c r="G47" s="149">
        <v>0</v>
      </c>
      <c r="H47" s="149">
        <v>0</v>
      </c>
    </row>
    <row r="48" spans="1:8">
      <c r="C48" s="148" t="s">
        <v>897</v>
      </c>
      <c r="D48" s="148" t="s">
        <v>903</v>
      </c>
      <c r="E48" s="149">
        <v>1.7999999999999999E-2</v>
      </c>
      <c r="F48" s="149">
        <v>0</v>
      </c>
      <c r="G48" s="149">
        <v>0</v>
      </c>
      <c r="H48" s="149">
        <v>0</v>
      </c>
    </row>
    <row r="49" spans="3:8">
      <c r="C49" s="148" t="s">
        <v>897</v>
      </c>
      <c r="D49" s="148" t="s">
        <v>904</v>
      </c>
      <c r="E49" s="149">
        <v>1.7999999999999999E-2</v>
      </c>
      <c r="F49" s="149">
        <v>0</v>
      </c>
      <c r="G49" s="149">
        <v>0</v>
      </c>
      <c r="H49" s="149">
        <v>0</v>
      </c>
    </row>
    <row r="50" spans="3:8">
      <c r="C50" s="148" t="s">
        <v>897</v>
      </c>
      <c r="D50" s="148" t="s">
        <v>905</v>
      </c>
      <c r="E50" s="149">
        <v>5.0000000000000001E-3</v>
      </c>
      <c r="F50" s="149">
        <v>0</v>
      </c>
      <c r="G50" s="149">
        <v>0</v>
      </c>
      <c r="H50" s="149">
        <v>0</v>
      </c>
    </row>
    <row r="51" spans="3:8">
      <c r="C51" s="148" t="s">
        <v>897</v>
      </c>
      <c r="D51" s="148" t="s">
        <v>906</v>
      </c>
      <c r="E51" s="149">
        <v>0.03</v>
      </c>
      <c r="F51" s="149">
        <v>0</v>
      </c>
      <c r="G51" s="149">
        <v>0</v>
      </c>
      <c r="H51" s="149">
        <v>0</v>
      </c>
    </row>
    <row r="52" spans="3:8">
      <c r="C52" s="148" t="s">
        <v>907</v>
      </c>
      <c r="D52" s="148" t="s">
        <v>908</v>
      </c>
      <c r="E52" s="149">
        <v>6.5</v>
      </c>
      <c r="F52" s="149">
        <v>0</v>
      </c>
      <c r="G52" s="149">
        <v>0</v>
      </c>
      <c r="H52" s="149">
        <v>0</v>
      </c>
    </row>
    <row r="53" spans="3:8">
      <c r="C53" s="148" t="s">
        <v>897</v>
      </c>
      <c r="D53" s="148" t="s">
        <v>909</v>
      </c>
      <c r="E53" s="149">
        <v>4.6000000000000001E-4</v>
      </c>
      <c r="F53" s="149">
        <v>0</v>
      </c>
      <c r="G53" s="149">
        <v>0</v>
      </c>
      <c r="H53" s="149">
        <v>0</v>
      </c>
    </row>
    <row r="54" spans="3:8">
      <c r="C54" s="148" t="s">
        <v>910</v>
      </c>
      <c r="D54" s="148" t="s">
        <v>911</v>
      </c>
      <c r="E54" s="149">
        <v>0.2</v>
      </c>
      <c r="F54" s="149">
        <v>0</v>
      </c>
      <c r="G54" s="149">
        <v>0</v>
      </c>
      <c r="H54" s="149">
        <v>0</v>
      </c>
    </row>
    <row r="55" spans="3:8">
      <c r="C55" s="148" t="s">
        <v>910</v>
      </c>
      <c r="D55" s="148" t="s">
        <v>912</v>
      </c>
      <c r="E55" s="149">
        <v>0.05</v>
      </c>
      <c r="F55" s="149">
        <v>0</v>
      </c>
      <c r="G55" s="149">
        <v>0</v>
      </c>
      <c r="H55" s="149">
        <v>0</v>
      </c>
    </row>
    <row r="56" spans="3:8">
      <c r="C56" s="148" t="s">
        <v>897</v>
      </c>
      <c r="D56" s="148" t="s">
        <v>913</v>
      </c>
      <c r="E56" s="149">
        <v>1.7999999999999999E-2</v>
      </c>
      <c r="F56" s="149">
        <v>0</v>
      </c>
      <c r="G56" s="149">
        <v>0</v>
      </c>
      <c r="H56" s="149">
        <v>0</v>
      </c>
    </row>
    <row r="57" spans="3:8">
      <c r="C57" s="148" t="s">
        <v>914</v>
      </c>
      <c r="D57" s="148" t="s">
        <v>915</v>
      </c>
      <c r="E57" s="149">
        <v>6</v>
      </c>
      <c r="F57" s="149">
        <v>0</v>
      </c>
      <c r="G57" s="149">
        <v>0</v>
      </c>
      <c r="H57" s="149">
        <v>0</v>
      </c>
    </row>
    <row r="58" spans="3:8">
      <c r="C58" s="148" t="s">
        <v>914</v>
      </c>
      <c r="D58" s="148" t="s">
        <v>916</v>
      </c>
      <c r="E58" s="149">
        <v>1.2</v>
      </c>
      <c r="F58" s="149">
        <v>0</v>
      </c>
      <c r="G58" s="149">
        <v>0</v>
      </c>
      <c r="H58" s="149">
        <v>0</v>
      </c>
    </row>
    <row r="59" spans="3:8">
      <c r="C59" s="148" t="s">
        <v>897</v>
      </c>
      <c r="D59" s="148" t="s">
        <v>917</v>
      </c>
      <c r="E59" s="149">
        <v>1.1299999999999999E-2</v>
      </c>
      <c r="F59" s="149">
        <v>0</v>
      </c>
      <c r="G59" s="149">
        <v>0</v>
      </c>
      <c r="H59" s="149">
        <v>0</v>
      </c>
    </row>
    <row r="60" spans="3:8">
      <c r="C60" s="148" t="s">
        <v>897</v>
      </c>
      <c r="D60" s="148" t="s">
        <v>918</v>
      </c>
      <c r="E60" s="149">
        <v>5.0000000000000001E-3</v>
      </c>
      <c r="F60" s="149">
        <v>0</v>
      </c>
      <c r="G60" s="149">
        <v>0</v>
      </c>
      <c r="H60" s="149">
        <v>0</v>
      </c>
    </row>
    <row r="61" spans="3:8">
      <c r="C61" s="148" t="s">
        <v>897</v>
      </c>
      <c r="D61" s="148" t="s">
        <v>919</v>
      </c>
      <c r="E61" s="149">
        <v>0.03</v>
      </c>
      <c r="F61" s="149">
        <v>0</v>
      </c>
      <c r="G61" s="149">
        <v>0</v>
      </c>
      <c r="H61" s="149">
        <v>0</v>
      </c>
    </row>
    <row r="62" spans="3:8">
      <c r="C62" s="148" t="s">
        <v>920</v>
      </c>
      <c r="D62" s="148" t="s">
        <v>119</v>
      </c>
      <c r="E62" s="149">
        <v>0.7</v>
      </c>
      <c r="F62" s="149">
        <v>0</v>
      </c>
      <c r="G62" s="149">
        <v>0</v>
      </c>
      <c r="H62" s="149">
        <v>0</v>
      </c>
    </row>
    <row r="63" spans="3:8">
      <c r="C63" s="148" t="s">
        <v>156</v>
      </c>
      <c r="D63" s="148" t="s">
        <v>921</v>
      </c>
      <c r="E63" s="149">
        <v>10.7</v>
      </c>
      <c r="F63" s="149">
        <v>0</v>
      </c>
      <c r="G63" s="149">
        <v>0</v>
      </c>
      <c r="H63" s="149">
        <v>0</v>
      </c>
    </row>
    <row r="64" spans="3:8">
      <c r="C64" s="148" t="s">
        <v>156</v>
      </c>
      <c r="D64" s="148" t="s">
        <v>922</v>
      </c>
      <c r="E64" s="152">
        <v>11.8</v>
      </c>
      <c r="F64" s="149">
        <v>0</v>
      </c>
      <c r="G64" s="152">
        <v>0</v>
      </c>
      <c r="H64" s="149">
        <v>0</v>
      </c>
    </row>
    <row r="65" spans="1:8">
      <c r="C65" s="153" t="s">
        <v>923</v>
      </c>
      <c r="D65" s="148" t="s">
        <v>924</v>
      </c>
      <c r="E65" s="154">
        <v>47.2</v>
      </c>
      <c r="F65" s="149">
        <v>0</v>
      </c>
      <c r="G65" s="154">
        <v>0</v>
      </c>
      <c r="H65" s="155">
        <v>0</v>
      </c>
    </row>
    <row r="66" spans="1:8">
      <c r="C66" s="153" t="s">
        <v>925</v>
      </c>
      <c r="D66" s="148" t="s">
        <v>926</v>
      </c>
      <c r="E66" s="154">
        <v>53.5</v>
      </c>
      <c r="F66" s="156">
        <v>0</v>
      </c>
      <c r="G66" s="154">
        <v>0</v>
      </c>
      <c r="H66" s="155">
        <v>0</v>
      </c>
    </row>
    <row r="67" spans="1:8">
      <c r="C67" s="153" t="s">
        <v>86</v>
      </c>
      <c r="D67" s="148" t="s">
        <v>927</v>
      </c>
      <c r="E67" s="154">
        <v>1</v>
      </c>
      <c r="F67" s="156">
        <v>0</v>
      </c>
      <c r="G67" s="154">
        <v>0</v>
      </c>
      <c r="H67" s="155">
        <v>0</v>
      </c>
    </row>
    <row r="68" spans="1:8">
      <c r="C68" s="153"/>
      <c r="D68" s="148"/>
      <c r="E68" s="154"/>
      <c r="F68" s="156"/>
      <c r="G68" s="154"/>
      <c r="H68" s="155"/>
    </row>
    <row r="69" spans="1:8">
      <c r="A69" t="s">
        <v>928</v>
      </c>
      <c r="C69" s="153"/>
      <c r="D69" s="148"/>
      <c r="E69" s="154"/>
      <c r="F69" s="156"/>
      <c r="G69" s="154"/>
      <c r="H69" s="155"/>
    </row>
    <row r="70" spans="1:8">
      <c r="C70" s="153" t="s">
        <v>844</v>
      </c>
      <c r="D70" s="148" t="s">
        <v>929</v>
      </c>
      <c r="E70" s="154">
        <v>1E-3</v>
      </c>
      <c r="F70" s="149">
        <v>0</v>
      </c>
      <c r="G70" s="154">
        <v>0</v>
      </c>
      <c r="H70" s="155">
        <v>0</v>
      </c>
    </row>
    <row r="71" spans="1:8">
      <c r="C71" s="153" t="s">
        <v>844</v>
      </c>
      <c r="D71" s="148" t="s">
        <v>930</v>
      </c>
      <c r="E71" s="154">
        <v>8.0000000000000004E-4</v>
      </c>
      <c r="F71" s="149">
        <v>0</v>
      </c>
      <c r="G71" s="154">
        <v>0</v>
      </c>
      <c r="H71" s="155">
        <v>0</v>
      </c>
    </row>
    <row r="72" spans="1:8">
      <c r="C72" s="153" t="s">
        <v>844</v>
      </c>
      <c r="D72" s="148" t="s">
        <v>931</v>
      </c>
      <c r="E72" s="154">
        <v>5.0000000000000001E-3</v>
      </c>
      <c r="F72" s="149">
        <v>0</v>
      </c>
      <c r="G72" s="154">
        <v>0</v>
      </c>
      <c r="H72" s="155">
        <v>0</v>
      </c>
    </row>
    <row r="73" spans="1:8">
      <c r="C73" s="153" t="s">
        <v>897</v>
      </c>
      <c r="D73" s="148" t="s">
        <v>932</v>
      </c>
      <c r="E73" s="157">
        <v>3.3500000000000001E-3</v>
      </c>
      <c r="F73" s="149">
        <v>0</v>
      </c>
      <c r="G73" s="157">
        <v>0</v>
      </c>
      <c r="H73" s="155">
        <v>0</v>
      </c>
    </row>
    <row r="74" spans="1:8">
      <c r="C74" s="153" t="s">
        <v>844</v>
      </c>
      <c r="D74" s="148" t="s">
        <v>933</v>
      </c>
      <c r="E74" s="158">
        <v>1.2E-2</v>
      </c>
      <c r="F74" s="149">
        <v>0</v>
      </c>
      <c r="G74" s="157">
        <v>0</v>
      </c>
      <c r="H74" s="155">
        <v>0</v>
      </c>
    </row>
    <row r="75" spans="1:8">
      <c r="E75" s="70"/>
      <c r="G75" s="70"/>
    </row>
    <row r="76" spans="1:8">
      <c r="A76" t="s">
        <v>934</v>
      </c>
    </row>
    <row r="77" spans="1:8">
      <c r="C77" t="str">
        <f t="shared" ref="C77:H81" si="0">C63</f>
        <v>kWh</v>
      </c>
      <c r="D77" t="str">
        <f t="shared" si="0"/>
        <v xml:space="preserve">Dansk elektricitet (1992) </v>
      </c>
      <c r="E77">
        <f t="shared" si="0"/>
        <v>10.7</v>
      </c>
      <c r="F77">
        <f t="shared" si="0"/>
        <v>0</v>
      </c>
      <c r="G77">
        <f t="shared" si="0"/>
        <v>0</v>
      </c>
      <c r="H77">
        <f t="shared" si="0"/>
        <v>0</v>
      </c>
    </row>
    <row r="78" spans="1:8">
      <c r="C78" t="str">
        <f t="shared" si="0"/>
        <v>kWh</v>
      </c>
      <c r="D78" t="str">
        <f t="shared" si="0"/>
        <v>EU elektricitet (1994)</v>
      </c>
      <c r="E78">
        <f t="shared" si="0"/>
        <v>11.8</v>
      </c>
      <c r="F78">
        <f t="shared" si="0"/>
        <v>0</v>
      </c>
      <c r="G78">
        <f t="shared" si="0"/>
        <v>0</v>
      </c>
      <c r="H78">
        <f t="shared" si="0"/>
        <v>0</v>
      </c>
    </row>
    <row r="79" spans="1:8">
      <c r="C79" t="str">
        <f t="shared" si="0"/>
        <v>kg fuelolie</v>
      </c>
      <c r="D79" t="str">
        <f t="shared" si="0"/>
        <v>Fuelolie, forbrænding af, 1-100 MW</v>
      </c>
      <c r="E79">
        <f t="shared" si="0"/>
        <v>47.2</v>
      </c>
      <c r="F79">
        <f t="shared" si="0"/>
        <v>0</v>
      </c>
      <c r="G79">
        <f t="shared" si="0"/>
        <v>0</v>
      </c>
      <c r="H79">
        <f t="shared" si="0"/>
        <v>0</v>
      </c>
    </row>
    <row r="80" spans="1:8">
      <c r="C80" t="str">
        <f t="shared" si="0"/>
        <v>kg naturgas</v>
      </c>
      <c r="D80" t="str">
        <f t="shared" si="0"/>
        <v>Naturgas, forbrænding af, 1-50 MW</v>
      </c>
      <c r="E80">
        <f t="shared" si="0"/>
        <v>53.5</v>
      </c>
      <c r="F80">
        <f t="shared" si="0"/>
        <v>0</v>
      </c>
      <c r="G80">
        <f t="shared" si="0"/>
        <v>0</v>
      </c>
      <c r="H80">
        <f t="shared" si="0"/>
        <v>0</v>
      </c>
    </row>
    <row r="81" spans="1:8">
      <c r="C81" t="str">
        <f t="shared" si="0"/>
        <v>MJ</v>
      </c>
      <c r="D81" t="str">
        <f t="shared" si="0"/>
        <v>Primær energi, uspecificeret</v>
      </c>
      <c r="E81">
        <f t="shared" si="0"/>
        <v>1</v>
      </c>
      <c r="F81">
        <f t="shared" si="0"/>
        <v>0</v>
      </c>
      <c r="G81">
        <f t="shared" si="0"/>
        <v>0</v>
      </c>
      <c r="H81">
        <f t="shared" si="0"/>
        <v>0</v>
      </c>
    </row>
    <row r="83" spans="1:8">
      <c r="A83" t="s">
        <v>935</v>
      </c>
    </row>
    <row r="84" spans="1:8">
      <c r="C84" t="str">
        <f>C6</f>
        <v>g</v>
      </c>
      <c r="D84" t="str">
        <f>CONCATENATE(D6," (bortskaffes ved forbrænding)")</f>
        <v>ABS (bortskaffes ved forbrænding)</v>
      </c>
      <c r="E84">
        <f>E6</f>
        <v>9.5000000000000001E-2</v>
      </c>
      <c r="F84">
        <f>F6</f>
        <v>4.0000000000000003E-5</v>
      </c>
      <c r="G84">
        <f>G6</f>
        <v>4.0000000000000001E-3</v>
      </c>
      <c r="H84">
        <f>H6</f>
        <v>0.04</v>
      </c>
    </row>
    <row r="85" spans="1:8">
      <c r="C85" t="str">
        <f>C6</f>
        <v>g</v>
      </c>
      <c r="D85" t="str">
        <f>CONCATENATE(D6," (genvindes)")</f>
        <v>ABS (genvindes)</v>
      </c>
      <c r="E85">
        <f t="shared" ref="E85:H86" si="1">E6</f>
        <v>9.5000000000000001E-2</v>
      </c>
      <c r="F85">
        <f t="shared" si="1"/>
        <v>4.0000000000000003E-5</v>
      </c>
      <c r="G85">
        <f>G6</f>
        <v>4.0000000000000001E-3</v>
      </c>
      <c r="H85">
        <f t="shared" si="1"/>
        <v>0.04</v>
      </c>
    </row>
    <row r="86" spans="1:8">
      <c r="C86" t="str">
        <f>C7</f>
        <v>g</v>
      </c>
      <c r="D86" t="str">
        <f>CONCATENATE(D7," (bortskaffes ved forbrænding)")</f>
        <v>EPS, ekspanderet polystyren (bortskaffes ved forbrænding)</v>
      </c>
      <c r="E86">
        <f t="shared" si="1"/>
        <v>0.127</v>
      </c>
      <c r="F86">
        <f t="shared" si="1"/>
        <v>4.0000000000000003E-5</v>
      </c>
      <c r="G86">
        <f>G7</f>
        <v>4.0000000000000001E-3</v>
      </c>
      <c r="H86">
        <f t="shared" si="1"/>
        <v>4.8000000000000001E-2</v>
      </c>
    </row>
    <row r="87" spans="1:8">
      <c r="C87" t="str">
        <f>C7</f>
        <v>g</v>
      </c>
      <c r="D87" t="str">
        <f>CONCATENATE(D7," (genvindes)")</f>
        <v>EPS, ekspanderet polystyren (genvindes)</v>
      </c>
      <c r="E87">
        <f t="shared" ref="E87:H88" si="2">E7</f>
        <v>0.127</v>
      </c>
      <c r="F87">
        <f t="shared" si="2"/>
        <v>4.0000000000000003E-5</v>
      </c>
      <c r="G87">
        <f>G7</f>
        <v>4.0000000000000001E-3</v>
      </c>
      <c r="H87">
        <f t="shared" si="2"/>
        <v>4.8000000000000001E-2</v>
      </c>
    </row>
    <row r="88" spans="1:8">
      <c r="C88" t="str">
        <f>C8</f>
        <v>g</v>
      </c>
      <c r="D88" t="str">
        <f>CONCATENATE(D8," (bortskaffes ved forbrænding)")</f>
        <v>PA, polyamid (bortskaffes ved forbrænding)</v>
      </c>
      <c r="E88">
        <f t="shared" si="2"/>
        <v>0.14000000000000001</v>
      </c>
      <c r="F88">
        <f t="shared" si="2"/>
        <v>4.0000000000000003E-5</v>
      </c>
      <c r="G88">
        <f>G8</f>
        <v>4.0000000000000001E-3</v>
      </c>
      <c r="H88">
        <f t="shared" si="2"/>
        <v>0.03</v>
      </c>
    </row>
    <row r="89" spans="1:8">
      <c r="C89" t="str">
        <f>C8</f>
        <v>g</v>
      </c>
      <c r="D89" t="str">
        <f>CONCATENATE(D8," (genvindes)")</f>
        <v>PA, polyamid (genvindes)</v>
      </c>
      <c r="E89">
        <f t="shared" ref="E89:H90" si="3">E8</f>
        <v>0.14000000000000001</v>
      </c>
      <c r="F89">
        <f t="shared" si="3"/>
        <v>4.0000000000000003E-5</v>
      </c>
      <c r="G89">
        <f>G8</f>
        <v>4.0000000000000001E-3</v>
      </c>
      <c r="H89">
        <f t="shared" si="3"/>
        <v>0.03</v>
      </c>
    </row>
    <row r="90" spans="1:8">
      <c r="C90" t="str">
        <f>C10</f>
        <v>g</v>
      </c>
      <c r="D90" t="str">
        <f>CONCATENATE(D9," (bortskaffes ved forbrænding)")</f>
        <v>PC, polykarbonat (bortskaffes ved forbrænding)</v>
      </c>
      <c r="E90">
        <f t="shared" si="3"/>
        <v>0.115</v>
      </c>
      <c r="F90">
        <f t="shared" si="3"/>
        <v>4.0000000000000003E-5</v>
      </c>
      <c r="G90">
        <f>G9</f>
        <v>4.0000000000000001E-3</v>
      </c>
      <c r="H90">
        <f t="shared" si="3"/>
        <v>0.03</v>
      </c>
    </row>
    <row r="91" spans="1:8">
      <c r="C91" t="str">
        <f t="shared" ref="C91:C102" si="4">C10</f>
        <v>g</v>
      </c>
      <c r="D91" t="str">
        <f>CONCATENATE(D9," (genvindes)")</f>
        <v>PC, polykarbonat (genvindes)</v>
      </c>
      <c r="E91">
        <f t="shared" ref="E91:H92" si="5">E9</f>
        <v>0.115</v>
      </c>
      <c r="F91">
        <f t="shared" si="5"/>
        <v>4.0000000000000003E-5</v>
      </c>
      <c r="G91">
        <f>G9</f>
        <v>4.0000000000000001E-3</v>
      </c>
      <c r="H91">
        <f t="shared" si="5"/>
        <v>0.03</v>
      </c>
    </row>
    <row r="92" spans="1:8">
      <c r="C92" t="str">
        <f t="shared" si="4"/>
        <v>g</v>
      </c>
      <c r="D92" t="str">
        <f>CONCATENATE(D10," (bortskaffes ved forbrænding)")</f>
        <v>PE, polyethylen (bortskaffes ved forbrænding)</v>
      </c>
      <c r="E92">
        <f t="shared" si="5"/>
        <v>7.4999999999999997E-2</v>
      </c>
      <c r="F92">
        <f t="shared" si="5"/>
        <v>4.0000000000000003E-5</v>
      </c>
      <c r="G92">
        <f>G10</f>
        <v>4.0000000000000001E-3</v>
      </c>
      <c r="H92">
        <f t="shared" si="5"/>
        <v>0.04</v>
      </c>
    </row>
    <row r="93" spans="1:8">
      <c r="C93" t="str">
        <f t="shared" si="4"/>
        <v>g</v>
      </c>
      <c r="D93" t="str">
        <f>CONCATENATE(D10," (genvindes)")</f>
        <v>PE, polyethylen (genvindes)</v>
      </c>
      <c r="E93">
        <f t="shared" ref="E93:H94" si="6">E10</f>
        <v>7.4999999999999997E-2</v>
      </c>
      <c r="F93">
        <f t="shared" si="6"/>
        <v>4.0000000000000003E-5</v>
      </c>
      <c r="G93">
        <f>G10</f>
        <v>4.0000000000000001E-3</v>
      </c>
      <c r="H93">
        <f t="shared" si="6"/>
        <v>0.04</v>
      </c>
    </row>
    <row r="94" spans="1:8">
      <c r="C94" t="str">
        <f t="shared" si="4"/>
        <v>g</v>
      </c>
      <c r="D94" t="str">
        <f>CONCATENATE(D11," (bortskaffes ved forbrænding)")</f>
        <v>PET, polyethylen terephthalat (bortskaffes ved forbrænding)</v>
      </c>
      <c r="E94">
        <f t="shared" si="6"/>
        <v>0.08</v>
      </c>
      <c r="F94">
        <f t="shared" si="6"/>
        <v>4.0000000000000003E-5</v>
      </c>
      <c r="G94">
        <f>G11</f>
        <v>4.0000000000000001E-3</v>
      </c>
      <c r="H94">
        <f t="shared" si="6"/>
        <v>0.03</v>
      </c>
    </row>
    <row r="95" spans="1:8">
      <c r="C95" t="str">
        <f t="shared" si="4"/>
        <v>g</v>
      </c>
      <c r="D95" t="str">
        <f>CONCATENATE(D11," (genvindes)")</f>
        <v>PET, polyethylen terephthalat (genvindes)</v>
      </c>
      <c r="E95">
        <f t="shared" ref="E95:H96" si="7">E11</f>
        <v>0.08</v>
      </c>
      <c r="F95">
        <f t="shared" si="7"/>
        <v>4.0000000000000003E-5</v>
      </c>
      <c r="G95">
        <f>G11</f>
        <v>4.0000000000000001E-3</v>
      </c>
      <c r="H95">
        <f t="shared" si="7"/>
        <v>0.03</v>
      </c>
    </row>
    <row r="96" spans="1:8">
      <c r="C96" t="str">
        <f t="shared" si="4"/>
        <v>g</v>
      </c>
      <c r="D96" t="str">
        <f>CONCATENATE(D12," (bortskaffes ved forbrænding)")</f>
        <v>PMMA, polymethylmetakrylat (bortskaffes ved forbrænding)</v>
      </c>
      <c r="E96">
        <f t="shared" si="7"/>
        <v>0.11</v>
      </c>
      <c r="F96">
        <f t="shared" si="7"/>
        <v>4.0000000000000003E-5</v>
      </c>
      <c r="G96">
        <f>G12</f>
        <v>4.0000000000000001E-3</v>
      </c>
      <c r="H96">
        <f t="shared" si="7"/>
        <v>0.04</v>
      </c>
    </row>
    <row r="97" spans="3:8">
      <c r="C97" t="str">
        <f t="shared" si="4"/>
        <v>g</v>
      </c>
      <c r="D97" t="str">
        <f>CONCATENATE(D12," (genvindes)")</f>
        <v>PMMA, polymethylmetakrylat (genvindes)</v>
      </c>
      <c r="E97">
        <f t="shared" ref="E97:H98" si="8">E12</f>
        <v>0.11</v>
      </c>
      <c r="F97">
        <f t="shared" si="8"/>
        <v>4.0000000000000003E-5</v>
      </c>
      <c r="G97">
        <f>G12</f>
        <v>4.0000000000000001E-3</v>
      </c>
      <c r="H97">
        <f t="shared" si="8"/>
        <v>0.04</v>
      </c>
    </row>
    <row r="98" spans="3:8">
      <c r="C98" t="str">
        <f t="shared" si="4"/>
        <v>g</v>
      </c>
      <c r="D98" t="str">
        <f>CONCATENATE(D13," (bortskaffes ved forbrænding)")</f>
        <v>Polybutadien, syntetisk gummi (bortskaffes ved forbrænding)</v>
      </c>
      <c r="E98">
        <f t="shared" si="8"/>
        <v>8.1000000000000003E-2</v>
      </c>
      <c r="F98">
        <f t="shared" si="8"/>
        <v>4.0000000000000003E-5</v>
      </c>
      <c r="G98">
        <f>G13</f>
        <v>4.0000000000000001E-3</v>
      </c>
      <c r="H98">
        <f t="shared" si="8"/>
        <v>4.5999999999999999E-2</v>
      </c>
    </row>
    <row r="99" spans="3:8">
      <c r="C99" t="str">
        <f t="shared" si="4"/>
        <v>g</v>
      </c>
      <c r="D99" t="str">
        <f>CONCATENATE(D13," (genvindes)")</f>
        <v>Polybutadien, syntetisk gummi (genvindes)</v>
      </c>
      <c r="E99">
        <f t="shared" ref="E99:H100" si="9">E13</f>
        <v>8.1000000000000003E-2</v>
      </c>
      <c r="F99">
        <f t="shared" si="9"/>
        <v>4.0000000000000003E-5</v>
      </c>
      <c r="G99">
        <f>G13</f>
        <v>4.0000000000000001E-3</v>
      </c>
      <c r="H99">
        <f t="shared" si="9"/>
        <v>4.5999999999999999E-2</v>
      </c>
    </row>
    <row r="100" spans="3:8">
      <c r="C100" t="str">
        <f t="shared" si="4"/>
        <v>g</v>
      </c>
      <c r="D100" t="str">
        <f>CONCATENATE(D14," (bortskaffes ved forbrænding)")</f>
        <v>POM, polyoximethylen (acetalplast) (bortskaffes ved forbrænding)</v>
      </c>
      <c r="E100">
        <f t="shared" si="9"/>
        <v>8.4000000000000005E-2</v>
      </c>
      <c r="F100">
        <f t="shared" si="9"/>
        <v>4.0000000000000003E-5</v>
      </c>
      <c r="G100">
        <f>G14</f>
        <v>4.0000000000000001E-3</v>
      </c>
      <c r="H100">
        <f t="shared" si="9"/>
        <v>4.4999999999999998E-2</v>
      </c>
    </row>
    <row r="101" spans="3:8">
      <c r="C101" t="str">
        <f t="shared" si="4"/>
        <v>g</v>
      </c>
      <c r="D101" t="str">
        <f>CONCATENATE(D14," (genvindes)")</f>
        <v>POM, polyoximethylen (acetalplast) (genvindes)</v>
      </c>
      <c r="E101">
        <f t="shared" ref="E101:H102" si="10">E14</f>
        <v>8.4000000000000005E-2</v>
      </c>
      <c r="F101">
        <f t="shared" si="10"/>
        <v>4.0000000000000003E-5</v>
      </c>
      <c r="G101">
        <f>G14</f>
        <v>4.0000000000000001E-3</v>
      </c>
      <c r="H101">
        <f t="shared" si="10"/>
        <v>4.4999999999999998E-2</v>
      </c>
    </row>
    <row r="102" spans="3:8">
      <c r="C102" t="str">
        <f t="shared" si="4"/>
        <v>g</v>
      </c>
      <c r="D102" t="str">
        <f>CONCATENATE(D15," (bortskaffes ved forbrænding)")</f>
        <v>PP, polypropylen (bortskaffes ved forbrænding)</v>
      </c>
      <c r="E102">
        <f t="shared" si="10"/>
        <v>0.08</v>
      </c>
      <c r="F102">
        <f t="shared" si="10"/>
        <v>4.0000000000000003E-5</v>
      </c>
      <c r="G102">
        <f>G15</f>
        <v>4.0000000000000001E-3</v>
      </c>
      <c r="H102">
        <f t="shared" si="10"/>
        <v>0.04</v>
      </c>
    </row>
    <row r="103" spans="3:8">
      <c r="C103" t="str">
        <f t="shared" ref="C103:C115" si="11">C6</f>
        <v>g</v>
      </c>
      <c r="D103" t="str">
        <f>CONCATENATE(D15," (genvindes)")</f>
        <v>PP, polypropylen (genvindes)</v>
      </c>
      <c r="E103">
        <f t="shared" ref="E103:H104" si="12">E15</f>
        <v>0.08</v>
      </c>
      <c r="F103">
        <f t="shared" si="12"/>
        <v>4.0000000000000003E-5</v>
      </c>
      <c r="G103">
        <f>G15</f>
        <v>4.0000000000000001E-3</v>
      </c>
      <c r="H103">
        <f t="shared" si="12"/>
        <v>0.04</v>
      </c>
    </row>
    <row r="104" spans="3:8">
      <c r="C104" t="str">
        <f t="shared" si="11"/>
        <v>g</v>
      </c>
      <c r="D104" t="str">
        <f>CONCATENATE(D16," (bortskaffes ved forbrænding)")</f>
        <v>PS, polystyren (bortskaffes ved forbrænding)</v>
      </c>
      <c r="E104">
        <f t="shared" si="12"/>
        <v>0.09</v>
      </c>
      <c r="F104">
        <f t="shared" si="12"/>
        <v>4.0000000000000003E-5</v>
      </c>
      <c r="G104">
        <f>G16</f>
        <v>4.0000000000000001E-3</v>
      </c>
      <c r="H104">
        <f t="shared" si="12"/>
        <v>0.04</v>
      </c>
    </row>
    <row r="105" spans="3:8">
      <c r="C105" t="str">
        <f t="shared" si="11"/>
        <v>g</v>
      </c>
      <c r="D105" t="str">
        <f>CONCATENATE(D16," (genvindes)")</f>
        <v>PS, polystyren (genvindes)</v>
      </c>
      <c r="E105">
        <f t="shared" ref="E105:H106" si="13">E16</f>
        <v>0.09</v>
      </c>
      <c r="F105">
        <f t="shared" si="13"/>
        <v>4.0000000000000003E-5</v>
      </c>
      <c r="G105">
        <f>G16</f>
        <v>4.0000000000000001E-3</v>
      </c>
      <c r="H105">
        <f t="shared" si="13"/>
        <v>0.04</v>
      </c>
    </row>
    <row r="106" spans="3:8">
      <c r="C106" t="str">
        <f t="shared" si="11"/>
        <v>g</v>
      </c>
      <c r="D106" t="str">
        <f>CONCATENATE(D17," (bortskaffes ved forbrænding)")</f>
        <v>PUR, polyurethan (bortskaffes ved forbrænding)</v>
      </c>
      <c r="E106">
        <f t="shared" si="13"/>
        <v>0.11</v>
      </c>
      <c r="F106">
        <f t="shared" si="13"/>
        <v>3.0000000000000001E-5</v>
      </c>
      <c r="G106">
        <f>G17</f>
        <v>4.0000000000000001E-3</v>
      </c>
      <c r="H106">
        <f t="shared" si="13"/>
        <v>0.03</v>
      </c>
    </row>
    <row r="107" spans="3:8">
      <c r="C107" t="str">
        <f t="shared" si="11"/>
        <v>g</v>
      </c>
      <c r="D107" t="str">
        <f>CONCATENATE(D17," (genvindes)")</f>
        <v>PUR, polyurethan (genvindes)</v>
      </c>
      <c r="E107">
        <f t="shared" ref="E107:H108" si="14">E17</f>
        <v>0.11</v>
      </c>
      <c r="F107">
        <f t="shared" si="14"/>
        <v>3.0000000000000001E-5</v>
      </c>
      <c r="G107">
        <f>G17</f>
        <v>4.0000000000000001E-3</v>
      </c>
      <c r="H107">
        <f t="shared" si="14"/>
        <v>0.03</v>
      </c>
    </row>
    <row r="108" spans="3:8">
      <c r="C108" t="str">
        <f t="shared" si="11"/>
        <v>g</v>
      </c>
      <c r="D108" t="str">
        <f>CONCATENATE(D18," (bortskaffes ved forbrænding)")</f>
        <v>PVC, polyvinylchlorid (bortskaffes ved forbrænding)</v>
      </c>
      <c r="E108">
        <f t="shared" si="14"/>
        <v>6.5000000000000002E-2</v>
      </c>
      <c r="F108">
        <f t="shared" si="14"/>
        <v>2.0000000000000002E-5</v>
      </c>
      <c r="G108">
        <f>G18</f>
        <v>4.0000000000000001E-3</v>
      </c>
      <c r="H108">
        <f t="shared" si="14"/>
        <v>0.02</v>
      </c>
    </row>
    <row r="109" spans="3:8">
      <c r="C109" t="str">
        <f t="shared" si="11"/>
        <v>g</v>
      </c>
      <c r="D109" t="str">
        <f>CONCATENATE(D18," (genvindes)")</f>
        <v>PVC, polyvinylchlorid (genvindes)</v>
      </c>
      <c r="E109">
        <f t="shared" ref="E109:H110" si="15">E18</f>
        <v>6.5000000000000002E-2</v>
      </c>
      <c r="F109">
        <f t="shared" si="15"/>
        <v>2.0000000000000002E-5</v>
      </c>
      <c r="G109">
        <f>G18</f>
        <v>4.0000000000000001E-3</v>
      </c>
      <c r="H109">
        <f t="shared" si="15"/>
        <v>0.02</v>
      </c>
    </row>
    <row r="110" spans="3:8">
      <c r="C110" t="str">
        <f t="shared" si="11"/>
        <v>g</v>
      </c>
      <c r="D110" t="str">
        <f>CONCATENATE(D19," (bortskaffes ved forbrænding)")</f>
        <v>SAN, styrenakrylnitril (bortskaffes ved forbrænding)</v>
      </c>
      <c r="E110">
        <f t="shared" si="15"/>
        <v>0.09</v>
      </c>
      <c r="F110">
        <f t="shared" si="15"/>
        <v>4.0000000000000003E-5</v>
      </c>
      <c r="G110">
        <f>G19</f>
        <v>4.0000000000000001E-3</v>
      </c>
      <c r="H110">
        <f t="shared" si="15"/>
        <v>0.04</v>
      </c>
    </row>
    <row r="111" spans="3:8">
      <c r="C111" t="str">
        <f t="shared" si="11"/>
        <v>g</v>
      </c>
      <c r="D111" t="str">
        <f>CONCATENATE(D19," (genvindes)")</f>
        <v>SAN, styrenakrylnitril (genvindes)</v>
      </c>
      <c r="E111">
        <f t="shared" ref="E111:H112" si="16">E19</f>
        <v>0.09</v>
      </c>
      <c r="F111">
        <f t="shared" si="16"/>
        <v>4.0000000000000003E-5</v>
      </c>
      <c r="G111">
        <f>G19</f>
        <v>4.0000000000000001E-3</v>
      </c>
      <c r="H111">
        <f t="shared" si="16"/>
        <v>0.04</v>
      </c>
    </row>
    <row r="112" spans="3:8">
      <c r="C112" t="str">
        <f t="shared" si="11"/>
        <v>g</v>
      </c>
      <c r="D112" t="str">
        <f>CONCATENATE(D20," (bortskaffes ved forbrænding)")</f>
        <v>Plast, andre (bortskaffes ved forbrænding)</v>
      </c>
      <c r="E112">
        <f t="shared" si="16"/>
        <v>0.1</v>
      </c>
      <c r="F112">
        <f t="shared" si="16"/>
        <v>4.0000000000000003E-5</v>
      </c>
      <c r="G112">
        <f>G20</f>
        <v>4.0000000000000001E-3</v>
      </c>
      <c r="H112">
        <f t="shared" si="16"/>
        <v>0.04</v>
      </c>
    </row>
    <row r="113" spans="1:8">
      <c r="C113" t="str">
        <f t="shared" si="11"/>
        <v>g</v>
      </c>
      <c r="D113" t="str">
        <f>CONCATENATE(D20," (genvindes)")</f>
        <v>Plast, andre (genvindes)</v>
      </c>
      <c r="E113">
        <f t="shared" ref="E113:H114" si="17">E20</f>
        <v>0.1</v>
      </c>
      <c r="F113">
        <f t="shared" si="17"/>
        <v>4.0000000000000003E-5</v>
      </c>
      <c r="G113">
        <f>G20</f>
        <v>4.0000000000000001E-3</v>
      </c>
      <c r="H113">
        <f t="shared" si="17"/>
        <v>0.04</v>
      </c>
    </row>
    <row r="114" spans="1:8">
      <c r="C114" t="str">
        <f t="shared" si="11"/>
        <v>g</v>
      </c>
      <c r="D114" t="str">
        <f>CONCATENATE(D21," (bortskaffes ved forbrænding)")</f>
        <v>Gummi (bortskaffes ved forbrænding)</v>
      </c>
      <c r="E114">
        <f t="shared" si="17"/>
        <v>8.1000000000000003E-2</v>
      </c>
      <c r="F114">
        <f t="shared" si="17"/>
        <v>4.0000000000000003E-5</v>
      </c>
      <c r="G114">
        <f>G21</f>
        <v>4.0000000000000001E-3</v>
      </c>
      <c r="H114">
        <f t="shared" si="17"/>
        <v>4.5999999999999999E-2</v>
      </c>
    </row>
    <row r="115" spans="1:8">
      <c r="C115" t="str">
        <f t="shared" si="11"/>
        <v>g</v>
      </c>
      <c r="D115" t="str">
        <f>CONCATENATE(D21," (genvindes)")</f>
        <v>Gummi (genvindes)</v>
      </c>
      <c r="E115">
        <f>E21</f>
        <v>8.1000000000000003E-2</v>
      </c>
      <c r="F115">
        <f>F21</f>
        <v>4.0000000000000003E-5</v>
      </c>
      <c r="G115">
        <f>G21</f>
        <v>4.0000000000000001E-3</v>
      </c>
      <c r="H115">
        <f>H21</f>
        <v>4.5999999999999999E-2</v>
      </c>
    </row>
    <row r="116" spans="1:8">
      <c r="A116" t="s">
        <v>936</v>
      </c>
      <c r="C116" t="str">
        <f t="shared" ref="C116:C132" si="18">C24</f>
        <v>g</v>
      </c>
      <c r="D116" t="str">
        <f>CONCATENATE(D24," (genvindes)")</f>
        <v>Aluminium (genvindes)</v>
      </c>
      <c r="E116">
        <f>E24</f>
        <v>0.17</v>
      </c>
      <c r="F116">
        <f t="shared" ref="F116:H131" si="19">F24</f>
        <v>1.5E-3</v>
      </c>
      <c r="G116">
        <f>G24</f>
        <v>0.03</v>
      </c>
      <c r="H116">
        <f>H24</f>
        <v>0</v>
      </c>
    </row>
    <row r="117" spans="1:8">
      <c r="C117" t="str">
        <f t="shared" si="18"/>
        <v>g</v>
      </c>
      <c r="D117" t="str">
        <f>CONCATENATE(D25," (genvindes ikke)")</f>
        <v>Chrom (Cr) (genvindes ikke)</v>
      </c>
      <c r="E117">
        <f t="shared" ref="E117:E130" si="20">E25</f>
        <v>0.2</v>
      </c>
      <c r="F117">
        <f t="shared" si="19"/>
        <v>1.4E-2</v>
      </c>
      <c r="G117">
        <f t="shared" si="19"/>
        <v>0</v>
      </c>
      <c r="H117">
        <f t="shared" si="19"/>
        <v>0</v>
      </c>
    </row>
    <row r="118" spans="1:8">
      <c r="C118" t="str">
        <f t="shared" si="18"/>
        <v>g</v>
      </c>
      <c r="D118" t="str">
        <f>CONCATENATE(D26," (genvindes ikke)")</f>
        <v>Guld (genvindes ikke)</v>
      </c>
      <c r="E118">
        <f t="shared" si="20"/>
        <v>66</v>
      </c>
      <c r="F118">
        <f t="shared" si="19"/>
        <v>90</v>
      </c>
      <c r="G118">
        <f t="shared" si="19"/>
        <v>0.05</v>
      </c>
      <c r="H118">
        <f t="shared" si="19"/>
        <v>0</v>
      </c>
    </row>
    <row r="119" spans="1:8">
      <c r="C119" t="str">
        <f t="shared" si="18"/>
        <v>g</v>
      </c>
      <c r="D119" t="str">
        <f>CONCATENATE(D27," (genvindes ikke)")</f>
        <v>Glas (genvindes ikke)</v>
      </c>
      <c r="E119">
        <f t="shared" si="20"/>
        <v>0.01</v>
      </c>
      <c r="F119">
        <f t="shared" si="19"/>
        <v>0</v>
      </c>
      <c r="G119">
        <f t="shared" si="19"/>
        <v>7.0000000000000001E-3</v>
      </c>
      <c r="H119">
        <f t="shared" si="19"/>
        <v>0</v>
      </c>
    </row>
    <row r="120" spans="1:8">
      <c r="C120" t="str">
        <f t="shared" si="18"/>
        <v>g</v>
      </c>
      <c r="D120" t="str">
        <f>CONCATENATE(D28," (genvindes)")</f>
        <v>Kobber (genvindes)</v>
      </c>
      <c r="E120">
        <f t="shared" si="20"/>
        <v>0.09</v>
      </c>
      <c r="F120">
        <f t="shared" si="19"/>
        <v>1.7000000000000001E-2</v>
      </c>
      <c r="G120">
        <f t="shared" si="19"/>
        <v>0.05</v>
      </c>
      <c r="H120">
        <f t="shared" si="19"/>
        <v>0</v>
      </c>
    </row>
    <row r="121" spans="1:8">
      <c r="C121" t="str">
        <f t="shared" si="18"/>
        <v>g</v>
      </c>
      <c r="D121" t="str">
        <f>CONCATENATE(D29," (genvindes ikke)")</f>
        <v>Magnesium (genvindes ikke)</v>
      </c>
      <c r="E121">
        <f t="shared" si="20"/>
        <v>0.16</v>
      </c>
      <c r="F121">
        <f t="shared" si="19"/>
        <v>0.03</v>
      </c>
      <c r="G121">
        <f t="shared" si="19"/>
        <v>0</v>
      </c>
      <c r="H121">
        <f t="shared" si="19"/>
        <v>0</v>
      </c>
    </row>
    <row r="122" spans="1:8">
      <c r="C122" t="str">
        <f t="shared" si="18"/>
        <v>g</v>
      </c>
      <c r="D122" t="str">
        <f>CONCATENATE(D30," (genvindes)")</f>
        <v>Messing (genvindes)</v>
      </c>
      <c r="E122">
        <f t="shared" si="20"/>
        <v>0.08</v>
      </c>
      <c r="F122">
        <f t="shared" si="19"/>
        <v>2.3E-2</v>
      </c>
      <c r="G122">
        <f t="shared" si="19"/>
        <v>0.05</v>
      </c>
      <c r="H122">
        <f t="shared" si="19"/>
        <v>0</v>
      </c>
    </row>
    <row r="123" spans="1:8">
      <c r="C123" t="str">
        <f t="shared" si="18"/>
        <v>g</v>
      </c>
      <c r="D123" t="str">
        <f>CONCATENATE(D31," (genvindes ikke)")</f>
        <v>Nikkel, Ni (genvindes ikke)</v>
      </c>
      <c r="E123">
        <f t="shared" si="20"/>
        <v>0.19</v>
      </c>
      <c r="F123">
        <f t="shared" si="19"/>
        <v>0.106</v>
      </c>
      <c r="G123">
        <f t="shared" si="19"/>
        <v>0.04</v>
      </c>
      <c r="H123">
        <f t="shared" si="19"/>
        <v>0</v>
      </c>
    </row>
    <row r="124" spans="1:8">
      <c r="C124" t="str">
        <f t="shared" si="18"/>
        <v>g</v>
      </c>
      <c r="D124" t="str">
        <f>CONCATENATE(D32," (bortskaffes ved forbrænding)")</f>
        <v>Papir (bortskaffes ved forbrænding)</v>
      </c>
      <c r="E124">
        <f t="shared" si="20"/>
        <v>0.04</v>
      </c>
      <c r="F124">
        <f t="shared" si="19"/>
        <v>0</v>
      </c>
      <c r="G124">
        <f t="shared" si="19"/>
        <v>0</v>
      </c>
      <c r="H124">
        <f t="shared" si="19"/>
        <v>0.02</v>
      </c>
    </row>
    <row r="125" spans="1:8">
      <c r="C125" t="str">
        <f t="shared" si="18"/>
        <v>g</v>
      </c>
      <c r="D125" t="str">
        <f>CONCATENATE(D33," (bortskaffes ved forbrænding)")</f>
        <v>Pap (bortskaffes ved forbrænding)</v>
      </c>
      <c r="E125">
        <f t="shared" si="20"/>
        <v>0.04</v>
      </c>
      <c r="F125">
        <f t="shared" si="19"/>
        <v>0</v>
      </c>
      <c r="G125">
        <f t="shared" si="19"/>
        <v>0</v>
      </c>
      <c r="H125">
        <f t="shared" si="19"/>
        <v>0.02</v>
      </c>
    </row>
    <row r="126" spans="1:8">
      <c r="C126" t="str">
        <f t="shared" si="18"/>
        <v>g</v>
      </c>
      <c r="D126" t="str">
        <f>CONCATENATE(D34," (genvindes)")</f>
        <v>Rustfrit stål (genvindes)</v>
      </c>
      <c r="E126">
        <f t="shared" si="20"/>
        <v>4.5999999999999999E-2</v>
      </c>
      <c r="F126">
        <f t="shared" si="19"/>
        <v>1.2E-2</v>
      </c>
      <c r="G126">
        <f t="shared" si="19"/>
        <v>0.04</v>
      </c>
      <c r="H126">
        <f t="shared" si="19"/>
        <v>0</v>
      </c>
    </row>
    <row r="127" spans="1:8">
      <c r="C127" t="str">
        <f t="shared" si="18"/>
        <v>g</v>
      </c>
      <c r="D127" t="str">
        <f>CONCATENATE(D35," (genvindes ikke)")</f>
        <v>Silicium (genvindes ikke)</v>
      </c>
      <c r="E127">
        <f t="shared" si="20"/>
        <v>0.22</v>
      </c>
      <c r="F127">
        <f t="shared" si="19"/>
        <v>0</v>
      </c>
      <c r="G127">
        <f t="shared" si="19"/>
        <v>0</v>
      </c>
      <c r="H127">
        <f t="shared" si="19"/>
        <v>0</v>
      </c>
    </row>
    <row r="128" spans="1:8">
      <c r="C128" t="str">
        <f t="shared" si="18"/>
        <v>g</v>
      </c>
      <c r="D128" t="str">
        <f>CONCATENATE(D36," (genvindes)")</f>
        <v>Støbejern (genvindes)</v>
      </c>
      <c r="E128">
        <f t="shared" si="20"/>
        <v>0.03</v>
      </c>
      <c r="F128">
        <f t="shared" si="19"/>
        <v>1.2999999999999999E-4</v>
      </c>
      <c r="G128">
        <f t="shared" si="19"/>
        <v>0.02</v>
      </c>
      <c r="H128">
        <f t="shared" si="19"/>
        <v>0</v>
      </c>
    </row>
    <row r="129" spans="3:8">
      <c r="C129" t="str">
        <f t="shared" si="18"/>
        <v>g</v>
      </c>
      <c r="D129" t="str">
        <f>CONCATENATE(D37," (genvindes)")</f>
        <v>Stål (genvindes)</v>
      </c>
      <c r="E129">
        <f t="shared" si="20"/>
        <v>0.04</v>
      </c>
      <c r="F129">
        <f t="shared" si="19"/>
        <v>1.2999999999999999E-4</v>
      </c>
      <c r="G129">
        <f t="shared" si="19"/>
        <v>0.02</v>
      </c>
      <c r="H129">
        <f t="shared" si="19"/>
        <v>0</v>
      </c>
    </row>
    <row r="130" spans="3:8">
      <c r="C130" t="str">
        <f t="shared" si="18"/>
        <v>g</v>
      </c>
      <c r="D130" t="str">
        <f>CONCATENATE(D38," (genvindes ikke)")</f>
        <v>Sølv (genvindes ikke)</v>
      </c>
      <c r="E130">
        <f t="shared" si="20"/>
        <v>1.7</v>
      </c>
      <c r="F130">
        <f t="shared" si="19"/>
        <v>19</v>
      </c>
      <c r="G130">
        <f t="shared" si="19"/>
        <v>0.05</v>
      </c>
      <c r="H130">
        <f t="shared" si="19"/>
        <v>0</v>
      </c>
    </row>
    <row r="131" spans="3:8">
      <c r="C131" t="str">
        <f t="shared" si="18"/>
        <v>g</v>
      </c>
      <c r="D131" t="str">
        <f>CONCATENATE(D39," (bortskaffes ved forbrænding)")</f>
        <v>Træ (bortskaffes ved forbrænding)</v>
      </c>
      <c r="E131">
        <f>E39</f>
        <v>0.04</v>
      </c>
      <c r="F131">
        <f t="shared" si="19"/>
        <v>0</v>
      </c>
      <c r="G131">
        <f>G39</f>
        <v>0</v>
      </c>
      <c r="H131">
        <f>H39</f>
        <v>0.02</v>
      </c>
    </row>
    <row r="132" spans="3:8">
      <c r="C132" t="str">
        <f t="shared" si="18"/>
        <v>g</v>
      </c>
      <c r="D132" t="str">
        <f>CONCATENATE(D40," (genvindes ikke)")</f>
        <v>Zink, Zn (genvindes ikke)</v>
      </c>
      <c r="E132">
        <f>E40</f>
        <v>7.0000000000000007E-2</v>
      </c>
      <c r="F132">
        <f>F40</f>
        <v>3.3000000000000002E-2</v>
      </c>
      <c r="G132">
        <f>G40</f>
        <v>0.04</v>
      </c>
      <c r="H132">
        <f>H40</f>
        <v>0</v>
      </c>
    </row>
  </sheetData>
  <hyperlinks>
    <hyperlink ref="A1" location="'About og Fane-Link'!A1" display="Til Forsiden"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9"/>
  <sheetViews>
    <sheetView workbookViewId="0">
      <selection activeCell="D30" sqref="D30"/>
    </sheetView>
  </sheetViews>
  <sheetFormatPr defaultRowHeight="13.2"/>
  <cols>
    <col min="2" max="2" width="23.88671875" customWidth="1"/>
    <col min="3" max="3" width="12.109375" bestFit="1" customWidth="1"/>
    <col min="4" max="4" width="10.88671875" customWidth="1"/>
    <col min="5" max="5" width="9.88671875" customWidth="1"/>
    <col min="7" max="7" width="11.109375" customWidth="1"/>
    <col min="8" max="8" width="9.88671875" customWidth="1"/>
  </cols>
  <sheetData>
    <row r="1" spans="1:9">
      <c r="A1" s="44" t="s">
        <v>2527</v>
      </c>
    </row>
    <row r="2" spans="1:9">
      <c r="C2" s="884" t="s">
        <v>2539</v>
      </c>
    </row>
    <row r="3" spans="1:9" ht="26.4">
      <c r="B3" s="886" t="s">
        <v>2530</v>
      </c>
    </row>
    <row r="4" spans="1:9">
      <c r="D4" s="887"/>
      <c r="E4" s="888" t="s">
        <v>2533</v>
      </c>
      <c r="F4" s="887"/>
      <c r="G4" s="889"/>
      <c r="H4" s="890" t="s">
        <v>2537</v>
      </c>
      <c r="I4" s="889"/>
    </row>
    <row r="5" spans="1:9" ht="16.5" customHeight="1">
      <c r="D5" s="891" t="s">
        <v>2534</v>
      </c>
      <c r="E5" s="891" t="s">
        <v>2535</v>
      </c>
      <c r="F5" s="892" t="s">
        <v>2532</v>
      </c>
      <c r="G5" s="891" t="s">
        <v>2534</v>
      </c>
      <c r="H5" s="891" t="s">
        <v>2535</v>
      </c>
      <c r="I5" s="891" t="s">
        <v>2532</v>
      </c>
    </row>
    <row r="6" spans="1:9">
      <c r="C6" s="892" t="s">
        <v>2531</v>
      </c>
      <c r="D6" s="892" t="s">
        <v>2533</v>
      </c>
      <c r="E6" s="892" t="s">
        <v>2536</v>
      </c>
      <c r="F6" s="893"/>
      <c r="G6" s="892" t="s">
        <v>2537</v>
      </c>
      <c r="H6" s="892" t="s">
        <v>2538</v>
      </c>
      <c r="I6" s="893"/>
    </row>
    <row r="7" spans="1:9">
      <c r="B7" s="884" t="s">
        <v>2540</v>
      </c>
      <c r="C7" s="42">
        <v>337</v>
      </c>
      <c r="D7" s="42">
        <v>7380</v>
      </c>
      <c r="E7" s="42">
        <v>1353</v>
      </c>
      <c r="F7" s="42">
        <f>D7-E7</f>
        <v>6027</v>
      </c>
      <c r="G7" s="42">
        <v>4920</v>
      </c>
      <c r="H7" s="42">
        <v>1107</v>
      </c>
      <c r="I7" s="42">
        <f>G7-H7</f>
        <v>3813</v>
      </c>
    </row>
    <row r="8" spans="1:9">
      <c r="B8" s="884" t="s">
        <v>2541</v>
      </c>
      <c r="C8" s="42">
        <v>47</v>
      </c>
      <c r="D8" s="42">
        <v>1029</v>
      </c>
      <c r="E8" s="42">
        <v>189</v>
      </c>
      <c r="F8" s="42">
        <f t="shared" ref="F8:F14" si="0">D8-E8</f>
        <v>840</v>
      </c>
      <c r="G8" s="42">
        <v>686</v>
      </c>
      <c r="H8" s="42">
        <v>154</v>
      </c>
      <c r="I8" s="42">
        <f t="shared" ref="I8:I14" si="1">G8-H8</f>
        <v>532</v>
      </c>
    </row>
    <row r="9" spans="1:9">
      <c r="B9" s="884" t="s">
        <v>2542</v>
      </c>
      <c r="C9" s="42">
        <v>76</v>
      </c>
      <c r="D9" s="42">
        <v>1664</v>
      </c>
      <c r="E9" s="42">
        <v>305</v>
      </c>
      <c r="F9" s="42">
        <f t="shared" si="0"/>
        <v>1359</v>
      </c>
      <c r="G9" s="42">
        <v>1110</v>
      </c>
      <c r="H9" s="42">
        <v>250</v>
      </c>
      <c r="I9" s="42">
        <f t="shared" si="1"/>
        <v>860</v>
      </c>
    </row>
    <row r="10" spans="1:9">
      <c r="B10" s="884" t="s">
        <v>2543</v>
      </c>
      <c r="C10" s="42">
        <v>767</v>
      </c>
      <c r="D10" s="894">
        <v>16797</v>
      </c>
      <c r="E10" s="894">
        <v>3080</v>
      </c>
      <c r="F10" s="42">
        <f t="shared" si="0"/>
        <v>13717</v>
      </c>
      <c r="G10" s="894">
        <v>11198</v>
      </c>
      <c r="H10" s="42">
        <v>2520</v>
      </c>
      <c r="I10" s="42">
        <f t="shared" si="1"/>
        <v>8678</v>
      </c>
    </row>
    <row r="11" spans="1:9">
      <c r="B11" s="884" t="s">
        <v>2544</v>
      </c>
      <c r="C11" s="42">
        <v>2.35</v>
      </c>
      <c r="D11" s="42">
        <v>51.5</v>
      </c>
      <c r="E11" s="42">
        <v>9.4</v>
      </c>
      <c r="F11" s="42">
        <f t="shared" si="0"/>
        <v>42.1</v>
      </c>
      <c r="G11" s="42">
        <v>34.299999999999997</v>
      </c>
      <c r="H11" s="42">
        <v>7.7</v>
      </c>
      <c r="I11" s="42">
        <f t="shared" si="1"/>
        <v>26.599999999999998</v>
      </c>
    </row>
    <row r="12" spans="1:9">
      <c r="B12" s="884" t="s">
        <v>2545</v>
      </c>
      <c r="C12" s="42">
        <v>1.9</v>
      </c>
      <c r="D12" s="42">
        <v>41.6</v>
      </c>
      <c r="E12" s="42">
        <v>7.6</v>
      </c>
      <c r="F12" s="42">
        <f t="shared" si="0"/>
        <v>34</v>
      </c>
      <c r="G12" s="42">
        <v>27.7</v>
      </c>
      <c r="H12" s="42">
        <v>6.2</v>
      </c>
      <c r="I12" s="42">
        <f t="shared" si="1"/>
        <v>21.5</v>
      </c>
    </row>
    <row r="13" spans="1:9">
      <c r="B13" s="884" t="s">
        <v>2546</v>
      </c>
      <c r="C13" s="42">
        <v>0.1</v>
      </c>
      <c r="D13" s="42">
        <v>2.19</v>
      </c>
      <c r="E13" s="42">
        <v>0.4</v>
      </c>
      <c r="F13" s="42">
        <f t="shared" si="0"/>
        <v>1.79</v>
      </c>
      <c r="G13" s="42">
        <v>1.46</v>
      </c>
      <c r="H13" s="42">
        <v>0.33</v>
      </c>
      <c r="I13" s="42">
        <f t="shared" si="1"/>
        <v>1.1299999999999999</v>
      </c>
    </row>
    <row r="14" spans="1:9">
      <c r="B14" s="884" t="s">
        <v>2547</v>
      </c>
      <c r="C14" s="42">
        <v>0.1</v>
      </c>
      <c r="D14" s="42">
        <v>2.19</v>
      </c>
      <c r="E14" s="42">
        <v>0.4</v>
      </c>
      <c r="F14" s="42">
        <f t="shared" si="0"/>
        <v>1.79</v>
      </c>
      <c r="G14" s="42">
        <v>1.46</v>
      </c>
      <c r="H14" s="42">
        <v>0.33</v>
      </c>
      <c r="I14" s="42">
        <f t="shared" si="1"/>
        <v>1.1299999999999999</v>
      </c>
    </row>
    <row r="29" spans="4:4">
      <c r="D29" s="884" t="s">
        <v>2548</v>
      </c>
    </row>
  </sheetData>
  <hyperlinks>
    <hyperlink ref="A1" location="'About og Fane-Link'!A1" display="Til Forsiden"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2"/>
  <sheetViews>
    <sheetView topLeftCell="A67" workbookViewId="0">
      <selection activeCell="V147" sqref="V147"/>
    </sheetView>
  </sheetViews>
  <sheetFormatPr defaultRowHeight="13.2"/>
  <sheetData>
    <row r="1" spans="1:3">
      <c r="A1" s="44" t="s">
        <v>2527</v>
      </c>
    </row>
    <row r="2" spans="1:3" ht="14.4">
      <c r="C2" s="883" t="s">
        <v>2549</v>
      </c>
    </row>
  </sheetData>
  <hyperlinks>
    <hyperlink ref="A1" location="'About og Fane-Link'!A1" display="Til Forsiden" xr:uid="{00000000-0004-0000-1800-000000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14"/>
  <sheetViews>
    <sheetView topLeftCell="A4" workbookViewId="0"/>
  </sheetViews>
  <sheetFormatPr defaultRowHeight="13.2"/>
  <cols>
    <col min="7" max="7" width="10.5546875" bestFit="1" customWidth="1"/>
  </cols>
  <sheetData>
    <row r="1" spans="1:14">
      <c r="A1" s="44" t="s">
        <v>2527</v>
      </c>
    </row>
    <row r="3" spans="1:14">
      <c r="C3" s="654" t="s">
        <v>1875</v>
      </c>
      <c r="N3" s="686" t="s">
        <v>1901</v>
      </c>
    </row>
    <row r="6" spans="1:14" ht="13.8" thickBot="1"/>
    <row r="7" spans="1:14">
      <c r="C7" s="655" t="s">
        <v>398</v>
      </c>
      <c r="D7" s="656" t="s">
        <v>520</v>
      </c>
      <c r="E7" s="656" t="s">
        <v>6</v>
      </c>
      <c r="F7" s="657"/>
      <c r="G7" s="664" t="s">
        <v>1876</v>
      </c>
      <c r="H7" s="657"/>
      <c r="I7" s="657"/>
      <c r="J7" s="664" t="s">
        <v>1877</v>
      </c>
      <c r="K7" s="657"/>
      <c r="L7" s="658"/>
    </row>
    <row r="8" spans="1:14">
      <c r="C8" s="659" t="s">
        <v>84</v>
      </c>
      <c r="D8" s="87">
        <v>1</v>
      </c>
      <c r="E8" s="660" t="s">
        <v>88</v>
      </c>
      <c r="F8" s="87"/>
      <c r="G8" s="87">
        <v>0.28000000000000003</v>
      </c>
      <c r="H8" s="660" t="s">
        <v>88</v>
      </c>
      <c r="I8" s="660" t="s">
        <v>412</v>
      </c>
      <c r="J8" s="87">
        <v>0.55000000000000004</v>
      </c>
      <c r="K8" s="660" t="s">
        <v>88</v>
      </c>
      <c r="L8" s="661" t="s">
        <v>412</v>
      </c>
    </row>
    <row r="9" spans="1:14">
      <c r="C9" s="662"/>
      <c r="D9" s="87"/>
      <c r="E9" s="87"/>
      <c r="F9" s="87"/>
      <c r="G9" s="87">
        <v>0.4</v>
      </c>
      <c r="H9" s="660" t="s">
        <v>88</v>
      </c>
      <c r="I9" s="660" t="s">
        <v>54</v>
      </c>
      <c r="J9" s="87">
        <v>0.45</v>
      </c>
      <c r="K9" s="660" t="s">
        <v>88</v>
      </c>
      <c r="L9" s="661" t="s">
        <v>54</v>
      </c>
    </row>
    <row r="10" spans="1:14">
      <c r="C10" s="662"/>
      <c r="D10" s="87"/>
      <c r="E10" s="87"/>
      <c r="F10" s="87"/>
      <c r="G10" s="87"/>
      <c r="H10" s="87"/>
      <c r="I10" s="87"/>
      <c r="J10" s="87"/>
      <c r="K10" s="87"/>
      <c r="L10" s="88"/>
    </row>
    <row r="11" spans="1:14">
      <c r="C11" s="659" t="s">
        <v>1878</v>
      </c>
      <c r="D11" s="87">
        <v>1</v>
      </c>
      <c r="E11" s="660" t="s">
        <v>88</v>
      </c>
      <c r="F11" s="87"/>
      <c r="G11" s="87">
        <v>1.4E-2</v>
      </c>
      <c r="H11" s="660" t="s">
        <v>88</v>
      </c>
      <c r="I11" s="660" t="s">
        <v>54</v>
      </c>
      <c r="J11" s="87"/>
      <c r="K11" s="87"/>
      <c r="L11" s="88"/>
    </row>
    <row r="12" spans="1:14">
      <c r="C12" s="662"/>
      <c r="D12" s="87"/>
      <c r="E12" s="87"/>
      <c r="F12" s="87"/>
      <c r="G12" s="87">
        <v>3.5000000000000003E-2</v>
      </c>
      <c r="H12" s="660" t="s">
        <v>156</v>
      </c>
      <c r="I12" s="660" t="s">
        <v>159</v>
      </c>
      <c r="J12" s="87"/>
      <c r="K12" s="87"/>
      <c r="L12" s="88"/>
    </row>
    <row r="13" spans="1:14">
      <c r="C13" s="662"/>
      <c r="D13" s="87"/>
      <c r="E13" s="87"/>
      <c r="F13" s="87"/>
      <c r="G13" s="87"/>
      <c r="H13" s="87"/>
      <c r="I13" s="87"/>
      <c r="J13" s="87"/>
      <c r="K13" s="87"/>
      <c r="L13" s="88"/>
    </row>
    <row r="14" spans="1:14" ht="13.8" thickBot="1">
      <c r="C14" s="663"/>
      <c r="D14" s="89"/>
      <c r="E14" s="89"/>
      <c r="F14" s="89"/>
      <c r="G14" s="89"/>
      <c r="H14" s="89"/>
      <c r="I14" s="89"/>
      <c r="J14" s="89"/>
      <c r="K14" s="89"/>
      <c r="L14" s="90"/>
    </row>
  </sheetData>
  <hyperlinks>
    <hyperlink ref="A1" location="'About og Fane-Link'!A1" display="Til Forsiden" xr:uid="{00000000-0004-0000-1900-000000000000}"/>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K84"/>
  <sheetViews>
    <sheetView topLeftCell="A13" workbookViewId="0"/>
  </sheetViews>
  <sheetFormatPr defaultRowHeight="13.2"/>
  <cols>
    <col min="2" max="2" width="21.88671875" customWidth="1"/>
    <col min="4" max="4" width="17.109375" customWidth="1"/>
  </cols>
  <sheetData>
    <row r="1" spans="1:167">
      <c r="A1" s="44" t="s">
        <v>2527</v>
      </c>
    </row>
    <row r="2" spans="1:167">
      <c r="A2" s="1013" t="s">
        <v>1327</v>
      </c>
      <c r="B2" s="1014"/>
      <c r="C2" s="1014"/>
      <c r="D2" s="1014"/>
      <c r="E2" s="1014"/>
      <c r="F2" s="1014"/>
      <c r="G2" s="1014"/>
      <c r="H2" s="1015"/>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c r="BA2" s="231"/>
      <c r="BB2" s="231"/>
      <c r="BC2" s="231"/>
      <c r="BD2" s="231"/>
      <c r="BE2" s="231"/>
      <c r="BF2" s="231"/>
      <c r="BG2" s="231"/>
      <c r="BH2" s="231"/>
      <c r="BI2" s="231"/>
      <c r="BJ2" s="231"/>
      <c r="BK2" s="231"/>
      <c r="BL2" s="231"/>
      <c r="BM2" s="231"/>
      <c r="BN2" s="231"/>
      <c r="BO2" s="231"/>
      <c r="BP2" s="231"/>
      <c r="BQ2" s="231"/>
      <c r="BR2" s="231"/>
      <c r="BS2" s="231"/>
      <c r="BT2" s="231"/>
      <c r="BU2" s="231"/>
      <c r="BV2" s="231"/>
      <c r="BW2" s="231"/>
      <c r="BX2" s="231"/>
      <c r="BY2" s="231"/>
      <c r="BZ2" s="231"/>
      <c r="CA2" s="231"/>
      <c r="CB2" s="231"/>
      <c r="CC2" s="231"/>
      <c r="CD2" s="231"/>
      <c r="CE2" s="231"/>
      <c r="CF2" s="231"/>
      <c r="CG2" s="231"/>
      <c r="CH2" s="231"/>
      <c r="CI2" s="231"/>
      <c r="CJ2" s="231"/>
      <c r="CK2" s="231"/>
      <c r="CL2" s="231"/>
      <c r="CM2" s="231"/>
      <c r="CN2" s="231"/>
      <c r="CO2" s="231"/>
      <c r="CP2" s="231"/>
      <c r="CQ2" s="231"/>
      <c r="CR2" s="231"/>
      <c r="CS2" s="231"/>
      <c r="CT2" s="231"/>
      <c r="CU2" s="231"/>
      <c r="CV2" s="231"/>
      <c r="CW2" s="231"/>
      <c r="CX2" s="231"/>
      <c r="CY2" s="231"/>
      <c r="CZ2" s="231"/>
      <c r="DA2" s="231"/>
      <c r="DB2" s="231"/>
      <c r="DC2" s="231"/>
      <c r="DD2" s="231"/>
      <c r="DE2" s="231"/>
      <c r="DF2" s="231"/>
      <c r="DG2" s="231"/>
      <c r="DH2" s="231"/>
      <c r="DI2" s="231"/>
      <c r="DJ2" s="231"/>
      <c r="DK2" s="231"/>
      <c r="DL2" s="231"/>
      <c r="DM2" s="231"/>
      <c r="DN2" s="231"/>
      <c r="DO2" s="231"/>
      <c r="DP2" s="231"/>
      <c r="DQ2" s="231"/>
      <c r="DR2" s="231"/>
      <c r="DS2" s="231"/>
      <c r="DT2" s="231"/>
      <c r="DU2" s="231"/>
      <c r="DV2" s="231"/>
      <c r="DW2" s="231"/>
      <c r="DX2" s="231"/>
      <c r="DY2" s="231"/>
      <c r="DZ2" s="231"/>
      <c r="EA2" s="231"/>
      <c r="EB2" s="231"/>
      <c r="EC2" s="231"/>
      <c r="ED2" s="231"/>
      <c r="EE2" s="231"/>
      <c r="EF2" s="231"/>
      <c r="EG2" s="231"/>
      <c r="EH2" s="231"/>
      <c r="EI2" s="231"/>
      <c r="EJ2" s="231"/>
      <c r="EK2" s="231"/>
      <c r="EL2" s="231"/>
      <c r="EM2" s="231"/>
      <c r="EN2" s="231"/>
      <c r="EO2" s="231"/>
      <c r="EP2" s="231"/>
      <c r="EQ2" s="231"/>
      <c r="ER2" s="231"/>
      <c r="ES2" s="231"/>
      <c r="ET2" s="231"/>
      <c r="EU2" s="231"/>
      <c r="EV2" s="231"/>
      <c r="EW2" s="231"/>
      <c r="EX2" s="231"/>
      <c r="EY2" s="231"/>
      <c r="EZ2" s="231"/>
      <c r="FA2" s="231"/>
      <c r="FB2" s="231"/>
      <c r="FC2" s="231"/>
      <c r="FD2" s="231"/>
      <c r="FE2" s="231"/>
      <c r="FF2" s="231"/>
      <c r="FG2" s="231"/>
      <c r="FH2" s="231"/>
      <c r="FI2" s="231"/>
      <c r="FJ2" s="231"/>
      <c r="FK2" s="231"/>
    </row>
    <row r="3" spans="1:167">
      <c r="A3" s="1008" t="s">
        <v>1328</v>
      </c>
      <c r="B3" s="1009"/>
      <c r="C3" s="1009"/>
      <c r="D3" s="234"/>
      <c r="E3" s="1011" t="s">
        <v>1329</v>
      </c>
      <c r="F3" s="1011"/>
      <c r="G3" s="1011"/>
      <c r="H3" s="101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c r="BT3" s="232"/>
      <c r="BU3" s="232"/>
      <c r="BV3" s="232"/>
      <c r="BW3" s="232"/>
      <c r="BX3" s="232"/>
      <c r="BY3" s="232"/>
      <c r="BZ3" s="232"/>
      <c r="CA3" s="232"/>
      <c r="CB3" s="232"/>
      <c r="CC3" s="232"/>
      <c r="CD3" s="232"/>
      <c r="CE3" s="232"/>
      <c r="CF3" s="232"/>
      <c r="CG3" s="232"/>
      <c r="CH3" s="232"/>
      <c r="CI3" s="232"/>
      <c r="CJ3" s="232"/>
      <c r="CK3" s="232"/>
      <c r="CL3" s="232"/>
      <c r="CM3" s="232"/>
      <c r="CN3" s="232"/>
      <c r="CO3" s="232"/>
      <c r="CP3" s="232"/>
      <c r="CQ3" s="232"/>
      <c r="CR3" s="232"/>
      <c r="CS3" s="232"/>
      <c r="CT3" s="232"/>
      <c r="CU3" s="232"/>
      <c r="CV3" s="232"/>
      <c r="CW3" s="232"/>
      <c r="CX3" s="232"/>
      <c r="CY3" s="232"/>
      <c r="CZ3" s="232"/>
      <c r="DA3" s="232"/>
      <c r="DB3" s="232"/>
      <c r="DC3" s="232"/>
      <c r="DD3" s="232"/>
      <c r="DE3" s="232"/>
      <c r="DF3" s="232"/>
      <c r="DG3" s="232"/>
      <c r="DH3" s="232"/>
      <c r="DI3" s="232"/>
      <c r="DJ3" s="232"/>
      <c r="DK3" s="232"/>
      <c r="DL3" s="232"/>
      <c r="DM3" s="232"/>
      <c r="DN3" s="232"/>
      <c r="DO3" s="232"/>
      <c r="DP3" s="232"/>
      <c r="DQ3" s="232"/>
      <c r="DR3" s="232"/>
      <c r="DS3" s="232"/>
      <c r="DT3" s="232"/>
      <c r="DU3" s="232"/>
      <c r="DV3" s="232"/>
      <c r="DW3" s="232"/>
      <c r="DX3" s="232"/>
      <c r="DY3" s="232"/>
      <c r="DZ3" s="232"/>
      <c r="EA3" s="232"/>
      <c r="EB3" s="232"/>
      <c r="EC3" s="232"/>
      <c r="ED3" s="232"/>
      <c r="EE3" s="232"/>
      <c r="EF3" s="232"/>
      <c r="EG3" s="232"/>
      <c r="EH3" s="232"/>
      <c r="EI3" s="232"/>
      <c r="EJ3" s="232"/>
      <c r="EK3" s="232"/>
      <c r="EL3" s="232"/>
      <c r="EM3" s="232"/>
      <c r="EN3" s="232"/>
      <c r="EO3" s="232"/>
      <c r="EP3" s="232"/>
      <c r="EQ3" s="232"/>
      <c r="ER3" s="232"/>
      <c r="ES3" s="232"/>
      <c r="ET3" s="232"/>
      <c r="EU3" s="232"/>
      <c r="EV3" s="232"/>
      <c r="EW3" s="232"/>
      <c r="EX3" s="232"/>
      <c r="EY3" s="232"/>
      <c r="EZ3" s="232"/>
      <c r="FA3" s="232"/>
      <c r="FB3" s="232"/>
      <c r="FC3" s="232"/>
      <c r="FD3" s="232"/>
      <c r="FE3" s="232"/>
      <c r="FF3" s="232"/>
      <c r="FG3" s="232"/>
      <c r="FH3" s="232"/>
      <c r="FI3" s="232"/>
      <c r="FJ3" s="232"/>
      <c r="FK3" s="232"/>
    </row>
    <row r="4" spans="1:167">
      <c r="A4" s="238"/>
      <c r="B4" s="233" t="s">
        <v>1330</v>
      </c>
      <c r="C4" s="233"/>
      <c r="D4" s="233"/>
      <c r="E4" s="1004" t="s">
        <v>1331</v>
      </c>
      <c r="F4" s="1004"/>
      <c r="G4" s="1004"/>
      <c r="H4" s="239"/>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c r="BT4" s="232"/>
      <c r="BU4" s="232"/>
      <c r="BV4" s="232"/>
      <c r="BW4" s="232"/>
      <c r="BX4" s="232"/>
      <c r="BY4" s="232"/>
      <c r="BZ4" s="232"/>
      <c r="CA4" s="232"/>
      <c r="CB4" s="232"/>
      <c r="CC4" s="232"/>
      <c r="CD4" s="232"/>
      <c r="CE4" s="232"/>
      <c r="CF4" s="232"/>
      <c r="CG4" s="232"/>
      <c r="CH4" s="232"/>
      <c r="CI4" s="232"/>
      <c r="CJ4" s="232"/>
      <c r="CK4" s="232"/>
      <c r="CL4" s="232"/>
      <c r="CM4" s="232"/>
      <c r="CN4" s="232"/>
      <c r="CO4" s="232"/>
      <c r="CP4" s="232"/>
      <c r="CQ4" s="232"/>
      <c r="CR4" s="232"/>
      <c r="CS4" s="232"/>
      <c r="CT4" s="232"/>
      <c r="CU4" s="232"/>
      <c r="CV4" s="232"/>
      <c r="CW4" s="232"/>
      <c r="CX4" s="232"/>
      <c r="CY4" s="232"/>
      <c r="CZ4" s="232"/>
      <c r="DA4" s="232"/>
      <c r="DB4" s="232"/>
      <c r="DC4" s="232"/>
      <c r="DD4" s="232"/>
      <c r="DE4" s="232"/>
      <c r="DF4" s="232"/>
      <c r="DG4" s="232"/>
      <c r="DH4" s="232"/>
      <c r="DI4" s="232"/>
      <c r="DJ4" s="232"/>
      <c r="DK4" s="232"/>
      <c r="DL4" s="232"/>
      <c r="DM4" s="232"/>
      <c r="DN4" s="232"/>
      <c r="DO4" s="232"/>
      <c r="DP4" s="232"/>
      <c r="DQ4" s="232"/>
      <c r="DR4" s="232"/>
      <c r="DS4" s="232"/>
      <c r="DT4" s="232"/>
      <c r="DU4" s="232"/>
      <c r="DV4" s="232"/>
      <c r="DW4" s="232"/>
      <c r="DX4" s="232"/>
      <c r="DY4" s="232"/>
      <c r="DZ4" s="232"/>
      <c r="EA4" s="232"/>
      <c r="EB4" s="232"/>
      <c r="EC4" s="232"/>
      <c r="ED4" s="232"/>
      <c r="EE4" s="232"/>
      <c r="EF4" s="232"/>
      <c r="EG4" s="232"/>
      <c r="EH4" s="232"/>
      <c r="EI4" s="232"/>
      <c r="EJ4" s="232"/>
      <c r="EK4" s="232"/>
      <c r="EL4" s="232"/>
      <c r="EM4" s="232"/>
      <c r="EN4" s="232"/>
      <c r="EO4" s="232"/>
      <c r="EP4" s="232"/>
      <c r="EQ4" s="232"/>
      <c r="ER4" s="232"/>
      <c r="ES4" s="232"/>
      <c r="ET4" s="232"/>
      <c r="EU4" s="232"/>
      <c r="EV4" s="232"/>
      <c r="EW4" s="232"/>
      <c r="EX4" s="232"/>
      <c r="EY4" s="232"/>
      <c r="EZ4" s="232"/>
      <c r="FA4" s="232"/>
      <c r="FB4" s="232"/>
      <c r="FC4" s="232"/>
      <c r="FD4" s="232"/>
      <c r="FE4" s="232"/>
      <c r="FF4" s="232"/>
      <c r="FG4" s="232"/>
      <c r="FH4" s="232"/>
      <c r="FI4" s="232"/>
      <c r="FJ4" s="232"/>
      <c r="FK4" s="232"/>
    </row>
    <row r="5" spans="1:167" ht="15.6">
      <c r="A5" s="238"/>
      <c r="B5" s="233" t="s">
        <v>1332</v>
      </c>
      <c r="C5" s="233"/>
      <c r="D5" s="233"/>
      <c r="E5" s="1004" t="s">
        <v>1333</v>
      </c>
      <c r="F5" s="1004"/>
      <c r="G5" s="1004"/>
      <c r="H5" s="239"/>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c r="BX5" s="232"/>
      <c r="BY5" s="232"/>
      <c r="BZ5" s="232"/>
      <c r="CA5" s="232"/>
      <c r="CB5" s="232"/>
      <c r="CC5" s="232"/>
      <c r="CD5" s="232"/>
      <c r="CE5" s="232"/>
      <c r="CF5" s="232"/>
      <c r="CG5" s="232"/>
      <c r="CH5" s="232"/>
      <c r="CI5" s="232"/>
      <c r="CJ5" s="232"/>
      <c r="CK5" s="232"/>
      <c r="CL5" s="232"/>
      <c r="CM5" s="232"/>
      <c r="CN5" s="232"/>
      <c r="CO5" s="232"/>
      <c r="CP5" s="232"/>
      <c r="CQ5" s="232"/>
      <c r="CR5" s="232"/>
      <c r="CS5" s="232"/>
      <c r="CT5" s="232"/>
      <c r="CU5" s="232"/>
      <c r="CV5" s="232"/>
      <c r="CW5" s="232"/>
      <c r="CX5" s="232"/>
      <c r="CY5" s="232"/>
      <c r="CZ5" s="232"/>
      <c r="DA5" s="232"/>
      <c r="DB5" s="232"/>
      <c r="DC5" s="232"/>
      <c r="DD5" s="232"/>
      <c r="DE5" s="232"/>
      <c r="DF5" s="232"/>
      <c r="DG5" s="232"/>
      <c r="DH5" s="232"/>
      <c r="DI5" s="232"/>
      <c r="DJ5" s="232"/>
      <c r="DK5" s="232"/>
      <c r="DL5" s="232"/>
      <c r="DM5" s="232"/>
      <c r="DN5" s="232"/>
      <c r="DO5" s="232"/>
      <c r="DP5" s="232"/>
      <c r="DQ5" s="232"/>
      <c r="DR5" s="232"/>
      <c r="DS5" s="232"/>
      <c r="DT5" s="232"/>
      <c r="DU5" s="232"/>
      <c r="DV5" s="232"/>
      <c r="DW5" s="232"/>
      <c r="DX5" s="232"/>
      <c r="DY5" s="232"/>
      <c r="DZ5" s="232"/>
      <c r="EA5" s="232"/>
      <c r="EB5" s="232"/>
      <c r="EC5" s="232"/>
      <c r="ED5" s="232"/>
      <c r="EE5" s="232"/>
      <c r="EF5" s="232"/>
      <c r="EG5" s="232"/>
      <c r="EH5" s="232"/>
      <c r="EI5" s="232"/>
      <c r="EJ5" s="232"/>
      <c r="EK5" s="232"/>
      <c r="EL5" s="232"/>
      <c r="EM5" s="232"/>
      <c r="EN5" s="232"/>
      <c r="EO5" s="232"/>
      <c r="EP5" s="232"/>
      <c r="EQ5" s="232"/>
      <c r="ER5" s="232"/>
      <c r="ES5" s="232"/>
      <c r="ET5" s="232"/>
      <c r="EU5" s="232"/>
      <c r="EV5" s="232"/>
      <c r="EW5" s="232"/>
      <c r="EX5" s="232"/>
      <c r="EY5" s="232"/>
      <c r="EZ5" s="232"/>
      <c r="FA5" s="232"/>
      <c r="FB5" s="232"/>
      <c r="FC5" s="232"/>
      <c r="FD5" s="232"/>
      <c r="FE5" s="232"/>
      <c r="FF5" s="232"/>
      <c r="FG5" s="232"/>
      <c r="FH5" s="232"/>
      <c r="FI5" s="232"/>
      <c r="FJ5" s="232"/>
      <c r="FK5" s="232"/>
    </row>
    <row r="6" spans="1:167" ht="15.6">
      <c r="A6" s="238"/>
      <c r="B6" s="233" t="s">
        <v>1334</v>
      </c>
      <c r="C6" s="233"/>
      <c r="D6" s="233"/>
      <c r="E6" s="1004" t="s">
        <v>1335</v>
      </c>
      <c r="F6" s="1004"/>
      <c r="G6" s="1004"/>
      <c r="H6" s="239"/>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c r="BX6" s="232"/>
      <c r="BY6" s="232"/>
      <c r="BZ6" s="232"/>
      <c r="CA6" s="232"/>
      <c r="CB6" s="232"/>
      <c r="CC6" s="232"/>
      <c r="CD6" s="232"/>
      <c r="CE6" s="232"/>
      <c r="CF6" s="232"/>
      <c r="CG6" s="232"/>
      <c r="CH6" s="232"/>
      <c r="CI6" s="232"/>
      <c r="CJ6" s="232"/>
      <c r="CK6" s="232"/>
      <c r="CL6" s="232"/>
      <c r="CM6" s="232"/>
      <c r="CN6" s="232"/>
      <c r="CO6" s="232"/>
      <c r="CP6" s="232"/>
      <c r="CQ6" s="232"/>
      <c r="CR6" s="232"/>
      <c r="CS6" s="232"/>
      <c r="CT6" s="232"/>
      <c r="CU6" s="232"/>
      <c r="CV6" s="232"/>
      <c r="CW6" s="232"/>
      <c r="CX6" s="232"/>
      <c r="CY6" s="232"/>
      <c r="CZ6" s="232"/>
      <c r="DA6" s="232"/>
      <c r="DB6" s="232"/>
      <c r="DC6" s="232"/>
      <c r="DD6" s="232"/>
      <c r="DE6" s="232"/>
      <c r="DF6" s="232"/>
      <c r="DG6" s="232"/>
      <c r="DH6" s="232"/>
      <c r="DI6" s="232"/>
      <c r="DJ6" s="232"/>
      <c r="DK6" s="232"/>
      <c r="DL6" s="232"/>
      <c r="DM6" s="232"/>
      <c r="DN6" s="232"/>
      <c r="DO6" s="232"/>
      <c r="DP6" s="232"/>
      <c r="DQ6" s="232"/>
      <c r="DR6" s="232"/>
      <c r="DS6" s="232"/>
      <c r="DT6" s="232"/>
      <c r="DU6" s="232"/>
      <c r="DV6" s="232"/>
      <c r="DW6" s="232"/>
      <c r="DX6" s="232"/>
      <c r="DY6" s="232"/>
      <c r="DZ6" s="232"/>
      <c r="EA6" s="232"/>
      <c r="EB6" s="232"/>
      <c r="EC6" s="232"/>
      <c r="ED6" s="232"/>
      <c r="EE6" s="232"/>
      <c r="EF6" s="232"/>
      <c r="EG6" s="232"/>
      <c r="EH6" s="232"/>
      <c r="EI6" s="232"/>
      <c r="EJ6" s="232"/>
      <c r="EK6" s="232"/>
      <c r="EL6" s="232"/>
      <c r="EM6" s="232"/>
      <c r="EN6" s="232"/>
      <c r="EO6" s="232"/>
      <c r="EP6" s="232"/>
      <c r="EQ6" s="232"/>
      <c r="ER6" s="232"/>
      <c r="ES6" s="232"/>
      <c r="ET6" s="232"/>
      <c r="EU6" s="232"/>
      <c r="EV6" s="232"/>
      <c r="EW6" s="232"/>
      <c r="EX6" s="232"/>
      <c r="EY6" s="232"/>
      <c r="EZ6" s="232"/>
      <c r="FA6" s="232"/>
      <c r="FB6" s="232"/>
      <c r="FC6" s="232"/>
      <c r="FD6" s="232"/>
      <c r="FE6" s="232"/>
      <c r="FF6" s="232"/>
      <c r="FG6" s="232"/>
      <c r="FH6" s="232"/>
      <c r="FI6" s="232"/>
      <c r="FJ6" s="232"/>
      <c r="FK6" s="232"/>
    </row>
    <row r="7" spans="1:167">
      <c r="A7" s="238"/>
      <c r="B7" s="233" t="s">
        <v>1336</v>
      </c>
      <c r="C7" s="233"/>
      <c r="D7" s="233"/>
      <c r="E7" s="1004" t="s">
        <v>1337</v>
      </c>
      <c r="F7" s="1004"/>
      <c r="G7" s="1004"/>
      <c r="H7" s="239"/>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2"/>
      <c r="AK7" s="232"/>
      <c r="AL7" s="232"/>
      <c r="AM7" s="232"/>
      <c r="AN7" s="232"/>
      <c r="AO7" s="232"/>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c r="BX7" s="232"/>
      <c r="BY7" s="232"/>
      <c r="BZ7" s="232"/>
      <c r="CA7" s="232"/>
      <c r="CB7" s="232"/>
      <c r="CC7" s="232"/>
      <c r="CD7" s="232"/>
      <c r="CE7" s="232"/>
      <c r="CF7" s="232"/>
      <c r="CG7" s="232"/>
      <c r="CH7" s="232"/>
      <c r="CI7" s="232"/>
      <c r="CJ7" s="232"/>
      <c r="CK7" s="232"/>
      <c r="CL7" s="232"/>
      <c r="CM7" s="232"/>
      <c r="CN7" s="232"/>
      <c r="CO7" s="232"/>
      <c r="CP7" s="232"/>
      <c r="CQ7" s="232"/>
      <c r="CR7" s="232"/>
      <c r="CS7" s="232"/>
      <c r="CT7" s="232"/>
      <c r="CU7" s="232"/>
      <c r="CV7" s="232"/>
      <c r="CW7" s="232"/>
      <c r="CX7" s="232"/>
      <c r="CY7" s="232"/>
      <c r="CZ7" s="232"/>
      <c r="DA7" s="232"/>
      <c r="DB7" s="232"/>
      <c r="DC7" s="232"/>
      <c r="DD7" s="232"/>
      <c r="DE7" s="232"/>
      <c r="DF7" s="232"/>
      <c r="DG7" s="232"/>
      <c r="DH7" s="232"/>
      <c r="DI7" s="232"/>
      <c r="DJ7" s="232"/>
      <c r="DK7" s="232"/>
      <c r="DL7" s="232"/>
      <c r="DM7" s="232"/>
      <c r="DN7" s="232"/>
      <c r="DO7" s="232"/>
      <c r="DP7" s="232"/>
      <c r="DQ7" s="232"/>
      <c r="DR7" s="232"/>
      <c r="DS7" s="232"/>
      <c r="DT7" s="232"/>
      <c r="DU7" s="232"/>
      <c r="DV7" s="232"/>
      <c r="DW7" s="232"/>
      <c r="DX7" s="232"/>
      <c r="DY7" s="232"/>
      <c r="DZ7" s="232"/>
      <c r="EA7" s="232"/>
      <c r="EB7" s="232"/>
      <c r="EC7" s="232"/>
      <c r="ED7" s="232"/>
      <c r="EE7" s="232"/>
      <c r="EF7" s="232"/>
      <c r="EG7" s="232"/>
      <c r="EH7" s="232"/>
      <c r="EI7" s="232"/>
      <c r="EJ7" s="232"/>
      <c r="EK7" s="232"/>
      <c r="EL7" s="232"/>
      <c r="EM7" s="232"/>
      <c r="EN7" s="232"/>
      <c r="EO7" s="232"/>
      <c r="EP7" s="232"/>
      <c r="EQ7" s="232"/>
      <c r="ER7" s="232"/>
      <c r="ES7" s="232"/>
      <c r="ET7" s="232"/>
      <c r="EU7" s="232"/>
      <c r="EV7" s="232"/>
      <c r="EW7" s="232"/>
      <c r="EX7" s="232"/>
      <c r="EY7" s="232"/>
      <c r="EZ7" s="232"/>
      <c r="FA7" s="232"/>
      <c r="FB7" s="232"/>
      <c r="FC7" s="232"/>
      <c r="FD7" s="232"/>
      <c r="FE7" s="232"/>
      <c r="FF7" s="232"/>
      <c r="FG7" s="232"/>
      <c r="FH7" s="232"/>
      <c r="FI7" s="232"/>
      <c r="FJ7" s="232"/>
      <c r="FK7" s="232"/>
    </row>
    <row r="8" spans="1:167">
      <c r="A8" s="238"/>
      <c r="B8" s="233" t="s">
        <v>1338</v>
      </c>
      <c r="C8" s="233"/>
      <c r="D8" s="233"/>
      <c r="E8" s="1004" t="s">
        <v>1339</v>
      </c>
      <c r="F8" s="1004"/>
      <c r="G8" s="1004"/>
      <c r="H8" s="239"/>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c r="CN8" s="232"/>
      <c r="CO8" s="232"/>
      <c r="CP8" s="232"/>
      <c r="CQ8" s="232"/>
      <c r="CR8" s="232"/>
      <c r="CS8" s="232"/>
      <c r="CT8" s="232"/>
      <c r="CU8" s="232"/>
      <c r="CV8" s="232"/>
      <c r="CW8" s="232"/>
      <c r="CX8" s="232"/>
      <c r="CY8" s="232"/>
      <c r="CZ8" s="232"/>
      <c r="DA8" s="232"/>
      <c r="DB8" s="232"/>
      <c r="DC8" s="232"/>
      <c r="DD8" s="232"/>
      <c r="DE8" s="232"/>
      <c r="DF8" s="232"/>
      <c r="DG8" s="232"/>
      <c r="DH8" s="232"/>
      <c r="DI8" s="232"/>
      <c r="DJ8" s="232"/>
      <c r="DK8" s="232"/>
      <c r="DL8" s="232"/>
      <c r="DM8" s="232"/>
      <c r="DN8" s="232"/>
      <c r="DO8" s="232"/>
      <c r="DP8" s="232"/>
      <c r="DQ8" s="232"/>
      <c r="DR8" s="232"/>
      <c r="DS8" s="232"/>
      <c r="DT8" s="232"/>
      <c r="DU8" s="232"/>
      <c r="DV8" s="232"/>
      <c r="DW8" s="232"/>
      <c r="DX8" s="232"/>
      <c r="DY8" s="232"/>
      <c r="DZ8" s="232"/>
      <c r="EA8" s="232"/>
      <c r="EB8" s="232"/>
      <c r="EC8" s="232"/>
      <c r="ED8" s="232"/>
      <c r="EE8" s="232"/>
      <c r="EF8" s="232"/>
      <c r="EG8" s="232"/>
      <c r="EH8" s="232"/>
      <c r="EI8" s="232"/>
      <c r="EJ8" s="232"/>
      <c r="EK8" s="232"/>
      <c r="EL8" s="232"/>
      <c r="EM8" s="232"/>
      <c r="EN8" s="232"/>
      <c r="EO8" s="232"/>
      <c r="EP8" s="232"/>
      <c r="EQ8" s="232"/>
      <c r="ER8" s="232"/>
      <c r="ES8" s="232"/>
      <c r="ET8" s="232"/>
      <c r="EU8" s="232"/>
      <c r="EV8" s="232"/>
      <c r="EW8" s="232"/>
      <c r="EX8" s="232"/>
      <c r="EY8" s="232"/>
      <c r="EZ8" s="232"/>
      <c r="FA8" s="232"/>
      <c r="FB8" s="232"/>
      <c r="FC8" s="232"/>
      <c r="FD8" s="232"/>
      <c r="FE8" s="232"/>
      <c r="FF8" s="232"/>
      <c r="FG8" s="232"/>
      <c r="FH8" s="232"/>
      <c r="FI8" s="232"/>
      <c r="FJ8" s="232"/>
      <c r="FK8" s="232"/>
    </row>
    <row r="9" spans="1:167" ht="15.6">
      <c r="A9" s="238"/>
      <c r="B9" s="233" t="s">
        <v>1340</v>
      </c>
      <c r="C9" s="233"/>
      <c r="D9" s="233"/>
      <c r="E9" s="1004" t="s">
        <v>1341</v>
      </c>
      <c r="F9" s="1004"/>
      <c r="G9" s="1004"/>
      <c r="H9" s="239"/>
      <c r="I9" s="232"/>
      <c r="J9" s="232"/>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c r="BX9" s="232"/>
      <c r="BY9" s="232"/>
      <c r="BZ9" s="232"/>
      <c r="CA9" s="232"/>
      <c r="CB9" s="232"/>
      <c r="CC9" s="232"/>
      <c r="CD9" s="232"/>
      <c r="CE9" s="232"/>
      <c r="CF9" s="232"/>
      <c r="CG9" s="232"/>
      <c r="CH9" s="232"/>
      <c r="CI9" s="232"/>
      <c r="CJ9" s="232"/>
      <c r="CK9" s="232"/>
      <c r="CL9" s="232"/>
      <c r="CM9" s="232"/>
      <c r="CN9" s="232"/>
      <c r="CO9" s="232"/>
      <c r="CP9" s="232"/>
      <c r="CQ9" s="232"/>
      <c r="CR9" s="232"/>
      <c r="CS9" s="232"/>
      <c r="CT9" s="232"/>
      <c r="CU9" s="232"/>
      <c r="CV9" s="232"/>
      <c r="CW9" s="232"/>
      <c r="CX9" s="232"/>
      <c r="CY9" s="232"/>
      <c r="CZ9" s="232"/>
      <c r="DA9" s="232"/>
      <c r="DB9" s="232"/>
      <c r="DC9" s="232"/>
      <c r="DD9" s="232"/>
      <c r="DE9" s="232"/>
      <c r="DF9" s="232"/>
      <c r="DG9" s="232"/>
      <c r="DH9" s="232"/>
      <c r="DI9" s="232"/>
      <c r="DJ9" s="232"/>
      <c r="DK9" s="232"/>
      <c r="DL9" s="232"/>
      <c r="DM9" s="232"/>
      <c r="DN9" s="232"/>
      <c r="DO9" s="232"/>
      <c r="DP9" s="232"/>
      <c r="DQ9" s="232"/>
      <c r="DR9" s="232"/>
      <c r="DS9" s="232"/>
      <c r="DT9" s="232"/>
      <c r="DU9" s="232"/>
      <c r="DV9" s="232"/>
      <c r="DW9" s="232"/>
      <c r="DX9" s="232"/>
      <c r="DY9" s="232"/>
      <c r="DZ9" s="232"/>
      <c r="EA9" s="232"/>
      <c r="EB9" s="232"/>
      <c r="EC9" s="232"/>
      <c r="ED9" s="232"/>
      <c r="EE9" s="232"/>
      <c r="EF9" s="232"/>
      <c r="EG9" s="232"/>
      <c r="EH9" s="232"/>
      <c r="EI9" s="232"/>
      <c r="EJ9" s="232"/>
      <c r="EK9" s="232"/>
      <c r="EL9" s="232"/>
      <c r="EM9" s="232"/>
      <c r="EN9" s="232"/>
      <c r="EO9" s="232"/>
      <c r="EP9" s="232"/>
      <c r="EQ9" s="232"/>
      <c r="ER9" s="232"/>
      <c r="ES9" s="232"/>
      <c r="ET9" s="232"/>
      <c r="EU9" s="232"/>
      <c r="EV9" s="232"/>
      <c r="EW9" s="232"/>
      <c r="EX9" s="232"/>
      <c r="EY9" s="232"/>
      <c r="EZ9" s="232"/>
      <c r="FA9" s="232"/>
      <c r="FB9" s="232"/>
      <c r="FC9" s="232"/>
      <c r="FD9" s="232"/>
      <c r="FE9" s="232"/>
      <c r="FF9" s="232"/>
      <c r="FG9" s="232"/>
      <c r="FH9" s="232"/>
      <c r="FI9" s="232"/>
      <c r="FJ9" s="232"/>
      <c r="FK9" s="232"/>
    </row>
    <row r="10" spans="1:167">
      <c r="A10" s="238"/>
      <c r="B10" s="233" t="s">
        <v>1342</v>
      </c>
      <c r="C10" s="233"/>
      <c r="D10" s="233"/>
      <c r="E10" s="1004" t="s">
        <v>1343</v>
      </c>
      <c r="F10" s="1004"/>
      <c r="G10" s="1004"/>
      <c r="H10" s="239"/>
      <c r="I10" s="232"/>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c r="BX10" s="232"/>
      <c r="BY10" s="232"/>
      <c r="BZ10" s="232"/>
      <c r="CA10" s="232"/>
      <c r="CB10" s="232"/>
      <c r="CC10" s="232"/>
      <c r="CD10" s="232"/>
      <c r="CE10" s="232"/>
      <c r="CF10" s="232"/>
      <c r="CG10" s="232"/>
      <c r="CH10" s="232"/>
      <c r="CI10" s="232"/>
      <c r="CJ10" s="232"/>
      <c r="CK10" s="232"/>
      <c r="CL10" s="232"/>
      <c r="CM10" s="232"/>
      <c r="CN10" s="232"/>
      <c r="CO10" s="232"/>
      <c r="CP10" s="232"/>
      <c r="CQ10" s="232"/>
      <c r="CR10" s="232"/>
      <c r="CS10" s="232"/>
      <c r="CT10" s="232"/>
      <c r="CU10" s="232"/>
      <c r="CV10" s="232"/>
      <c r="CW10" s="232"/>
      <c r="CX10" s="232"/>
      <c r="CY10" s="232"/>
      <c r="CZ10" s="232"/>
      <c r="DA10" s="232"/>
      <c r="DB10" s="232"/>
      <c r="DC10" s="232"/>
      <c r="DD10" s="232"/>
      <c r="DE10" s="232"/>
      <c r="DF10" s="232"/>
      <c r="DG10" s="232"/>
      <c r="DH10" s="232"/>
      <c r="DI10" s="232"/>
      <c r="DJ10" s="232"/>
      <c r="DK10" s="232"/>
      <c r="DL10" s="232"/>
      <c r="DM10" s="232"/>
      <c r="DN10" s="232"/>
      <c r="DO10" s="232"/>
      <c r="DP10" s="232"/>
      <c r="DQ10" s="232"/>
      <c r="DR10" s="232"/>
      <c r="DS10" s="232"/>
      <c r="DT10" s="232"/>
      <c r="DU10" s="232"/>
      <c r="DV10" s="232"/>
      <c r="DW10" s="232"/>
      <c r="DX10" s="232"/>
      <c r="DY10" s="232"/>
      <c r="DZ10" s="232"/>
      <c r="EA10" s="232"/>
      <c r="EB10" s="232"/>
      <c r="EC10" s="232"/>
      <c r="ED10" s="232"/>
      <c r="EE10" s="232"/>
      <c r="EF10" s="232"/>
      <c r="EG10" s="232"/>
      <c r="EH10" s="232"/>
      <c r="EI10" s="232"/>
      <c r="EJ10" s="232"/>
      <c r="EK10" s="232"/>
      <c r="EL10" s="232"/>
      <c r="EM10" s="232"/>
      <c r="EN10" s="232"/>
      <c r="EO10" s="232"/>
      <c r="EP10" s="232"/>
      <c r="EQ10" s="232"/>
      <c r="ER10" s="232"/>
      <c r="ES10" s="232"/>
      <c r="ET10" s="232"/>
      <c r="EU10" s="232"/>
      <c r="EV10" s="232"/>
      <c r="EW10" s="232"/>
      <c r="EX10" s="232"/>
      <c r="EY10" s="232"/>
      <c r="EZ10" s="232"/>
      <c r="FA10" s="232"/>
      <c r="FB10" s="232"/>
      <c r="FC10" s="232"/>
      <c r="FD10" s="232"/>
      <c r="FE10" s="232"/>
      <c r="FF10" s="232"/>
      <c r="FG10" s="232"/>
      <c r="FH10" s="232"/>
      <c r="FI10" s="232"/>
      <c r="FJ10" s="232"/>
      <c r="FK10" s="232"/>
    </row>
    <row r="11" spans="1:167">
      <c r="A11" s="238"/>
      <c r="B11" s="233" t="s">
        <v>1344</v>
      </c>
      <c r="C11" s="233"/>
      <c r="D11" s="233"/>
      <c r="E11" s="1016" t="s">
        <v>1345</v>
      </c>
      <c r="F11" s="1016"/>
      <c r="G11" s="1016"/>
      <c r="H11" s="239"/>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c r="BX11" s="232"/>
      <c r="BY11" s="232"/>
      <c r="BZ11" s="232"/>
      <c r="CA11" s="232"/>
      <c r="CB11" s="232"/>
      <c r="CC11" s="232"/>
      <c r="CD11" s="232"/>
      <c r="CE11" s="232"/>
      <c r="CF11" s="232"/>
      <c r="CG11" s="232"/>
      <c r="CH11" s="232"/>
      <c r="CI11" s="232"/>
      <c r="CJ11" s="232"/>
      <c r="CK11" s="232"/>
      <c r="CL11" s="232"/>
      <c r="CM11" s="232"/>
      <c r="CN11" s="232"/>
      <c r="CO11" s="232"/>
      <c r="CP11" s="232"/>
      <c r="CQ11" s="232"/>
      <c r="CR11" s="232"/>
      <c r="CS11" s="232"/>
      <c r="CT11" s="232"/>
      <c r="CU11" s="232"/>
      <c r="CV11" s="232"/>
      <c r="CW11" s="232"/>
      <c r="CX11" s="232"/>
      <c r="CY11" s="232"/>
      <c r="CZ11" s="232"/>
      <c r="DA11" s="232"/>
      <c r="DB11" s="232"/>
      <c r="DC11" s="232"/>
      <c r="DD11" s="232"/>
      <c r="DE11" s="232"/>
      <c r="DF11" s="232"/>
      <c r="DG11" s="232"/>
      <c r="DH11" s="232"/>
      <c r="DI11" s="232"/>
      <c r="DJ11" s="232"/>
      <c r="DK11" s="232"/>
      <c r="DL11" s="232"/>
      <c r="DM11" s="232"/>
      <c r="DN11" s="232"/>
      <c r="DO11" s="232"/>
      <c r="DP11" s="232"/>
      <c r="DQ11" s="232"/>
      <c r="DR11" s="232"/>
      <c r="DS11" s="232"/>
      <c r="DT11" s="232"/>
      <c r="DU11" s="232"/>
      <c r="DV11" s="232"/>
      <c r="DW11" s="232"/>
      <c r="DX11" s="232"/>
      <c r="DY11" s="232"/>
      <c r="DZ11" s="232"/>
      <c r="EA11" s="232"/>
      <c r="EB11" s="232"/>
      <c r="EC11" s="232"/>
      <c r="ED11" s="232"/>
      <c r="EE11" s="232"/>
      <c r="EF11" s="232"/>
      <c r="EG11" s="232"/>
      <c r="EH11" s="232"/>
      <c r="EI11" s="232"/>
      <c r="EJ11" s="232"/>
      <c r="EK11" s="232"/>
      <c r="EL11" s="232"/>
      <c r="EM11" s="232"/>
      <c r="EN11" s="232"/>
      <c r="EO11" s="232"/>
      <c r="EP11" s="232"/>
      <c r="EQ11" s="232"/>
      <c r="ER11" s="232"/>
      <c r="ES11" s="232"/>
      <c r="ET11" s="232"/>
      <c r="EU11" s="232"/>
      <c r="EV11" s="232"/>
      <c r="EW11" s="232"/>
      <c r="EX11" s="232"/>
      <c r="EY11" s="232"/>
      <c r="EZ11" s="232"/>
      <c r="FA11" s="232"/>
      <c r="FB11" s="232"/>
      <c r="FC11" s="232"/>
      <c r="FD11" s="232"/>
      <c r="FE11" s="232"/>
      <c r="FF11" s="232"/>
      <c r="FG11" s="232"/>
      <c r="FH11" s="232"/>
      <c r="FI11" s="232"/>
      <c r="FJ11" s="232"/>
      <c r="FK11" s="232"/>
    </row>
    <row r="12" spans="1:167">
      <c r="A12" s="238"/>
      <c r="B12" s="233" t="s">
        <v>1346</v>
      </c>
      <c r="C12" s="233"/>
      <c r="D12" s="233"/>
      <c r="E12" s="1004" t="s">
        <v>1347</v>
      </c>
      <c r="F12" s="1004"/>
      <c r="G12" s="1004"/>
      <c r="H12" s="239"/>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c r="BX12" s="232"/>
      <c r="BY12" s="232"/>
      <c r="BZ12" s="232"/>
      <c r="CA12" s="232"/>
      <c r="CB12" s="232"/>
      <c r="CC12" s="232"/>
      <c r="CD12" s="232"/>
      <c r="CE12" s="232"/>
      <c r="CF12" s="232"/>
      <c r="CG12" s="232"/>
      <c r="CH12" s="232"/>
      <c r="CI12" s="232"/>
      <c r="CJ12" s="232"/>
      <c r="CK12" s="232"/>
      <c r="CL12" s="232"/>
      <c r="CM12" s="232"/>
      <c r="CN12" s="232"/>
      <c r="CO12" s="232"/>
      <c r="CP12" s="232"/>
      <c r="CQ12" s="232"/>
      <c r="CR12" s="232"/>
      <c r="CS12" s="232"/>
      <c r="CT12" s="232"/>
      <c r="CU12" s="232"/>
      <c r="CV12" s="232"/>
      <c r="CW12" s="232"/>
      <c r="CX12" s="232"/>
      <c r="CY12" s="232"/>
      <c r="CZ12" s="232"/>
      <c r="DA12" s="232"/>
      <c r="DB12" s="232"/>
      <c r="DC12" s="232"/>
      <c r="DD12" s="232"/>
      <c r="DE12" s="232"/>
      <c r="DF12" s="232"/>
      <c r="DG12" s="232"/>
      <c r="DH12" s="232"/>
      <c r="DI12" s="232"/>
      <c r="DJ12" s="232"/>
      <c r="DK12" s="232"/>
      <c r="DL12" s="232"/>
      <c r="DM12" s="232"/>
      <c r="DN12" s="232"/>
      <c r="DO12" s="232"/>
      <c r="DP12" s="232"/>
      <c r="DQ12" s="232"/>
      <c r="DR12" s="232"/>
      <c r="DS12" s="232"/>
      <c r="DT12" s="232"/>
      <c r="DU12" s="232"/>
      <c r="DV12" s="232"/>
      <c r="DW12" s="232"/>
      <c r="DX12" s="232"/>
      <c r="DY12" s="232"/>
      <c r="DZ12" s="232"/>
      <c r="EA12" s="232"/>
      <c r="EB12" s="232"/>
      <c r="EC12" s="232"/>
      <c r="ED12" s="232"/>
      <c r="EE12" s="232"/>
      <c r="EF12" s="232"/>
      <c r="EG12" s="232"/>
      <c r="EH12" s="232"/>
      <c r="EI12" s="232"/>
      <c r="EJ12" s="232"/>
      <c r="EK12" s="232"/>
      <c r="EL12" s="232"/>
      <c r="EM12" s="232"/>
      <c r="EN12" s="232"/>
      <c r="EO12" s="232"/>
      <c r="EP12" s="232"/>
      <c r="EQ12" s="232"/>
      <c r="ER12" s="232"/>
      <c r="ES12" s="232"/>
      <c r="ET12" s="232"/>
      <c r="EU12" s="232"/>
      <c r="EV12" s="232"/>
      <c r="EW12" s="232"/>
      <c r="EX12" s="232"/>
      <c r="EY12" s="232"/>
      <c r="EZ12" s="232"/>
      <c r="FA12" s="232"/>
      <c r="FB12" s="232"/>
      <c r="FC12" s="232"/>
      <c r="FD12" s="232"/>
      <c r="FE12" s="232"/>
      <c r="FF12" s="232"/>
      <c r="FG12" s="232"/>
      <c r="FH12" s="232"/>
      <c r="FI12" s="232"/>
      <c r="FJ12" s="232"/>
      <c r="FK12" s="232"/>
    </row>
    <row r="13" spans="1:167">
      <c r="A13" s="238"/>
      <c r="B13" s="233" t="s">
        <v>1348</v>
      </c>
      <c r="C13" s="233"/>
      <c r="D13" s="233"/>
      <c r="E13" s="1004" t="s">
        <v>1349</v>
      </c>
      <c r="F13" s="1004"/>
      <c r="G13" s="1004"/>
      <c r="H13" s="239"/>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c r="BX13" s="232"/>
      <c r="BY13" s="232"/>
      <c r="BZ13" s="232"/>
      <c r="CA13" s="232"/>
      <c r="CB13" s="232"/>
      <c r="CC13" s="232"/>
      <c r="CD13" s="232"/>
      <c r="CE13" s="232"/>
      <c r="CF13" s="232"/>
      <c r="CG13" s="232"/>
      <c r="CH13" s="232"/>
      <c r="CI13" s="232"/>
      <c r="CJ13" s="232"/>
      <c r="CK13" s="232"/>
      <c r="CL13" s="232"/>
      <c r="CM13" s="232"/>
      <c r="CN13" s="232"/>
      <c r="CO13" s="232"/>
      <c r="CP13" s="232"/>
      <c r="CQ13" s="232"/>
      <c r="CR13" s="232"/>
      <c r="CS13" s="232"/>
      <c r="CT13" s="232"/>
      <c r="CU13" s="232"/>
      <c r="CV13" s="232"/>
      <c r="CW13" s="232"/>
      <c r="CX13" s="232"/>
      <c r="CY13" s="232"/>
      <c r="CZ13" s="232"/>
      <c r="DA13" s="232"/>
      <c r="DB13" s="232"/>
      <c r="DC13" s="232"/>
      <c r="DD13" s="232"/>
      <c r="DE13" s="232"/>
      <c r="DF13" s="232"/>
      <c r="DG13" s="232"/>
      <c r="DH13" s="232"/>
      <c r="DI13" s="232"/>
      <c r="DJ13" s="232"/>
      <c r="DK13" s="232"/>
      <c r="DL13" s="232"/>
      <c r="DM13" s="232"/>
      <c r="DN13" s="232"/>
      <c r="DO13" s="232"/>
      <c r="DP13" s="232"/>
      <c r="DQ13" s="232"/>
      <c r="DR13" s="232"/>
      <c r="DS13" s="232"/>
      <c r="DT13" s="232"/>
      <c r="DU13" s="232"/>
      <c r="DV13" s="232"/>
      <c r="DW13" s="232"/>
      <c r="DX13" s="232"/>
      <c r="DY13" s="232"/>
      <c r="DZ13" s="232"/>
      <c r="EA13" s="232"/>
      <c r="EB13" s="232"/>
      <c r="EC13" s="232"/>
      <c r="ED13" s="232"/>
      <c r="EE13" s="232"/>
      <c r="EF13" s="232"/>
      <c r="EG13" s="232"/>
      <c r="EH13" s="232"/>
      <c r="EI13" s="232"/>
      <c r="EJ13" s="232"/>
      <c r="EK13" s="232"/>
      <c r="EL13" s="232"/>
      <c r="EM13" s="232"/>
      <c r="EN13" s="232"/>
      <c r="EO13" s="232"/>
      <c r="EP13" s="232"/>
      <c r="EQ13" s="232"/>
      <c r="ER13" s="232"/>
      <c r="ES13" s="232"/>
      <c r="ET13" s="232"/>
      <c r="EU13" s="232"/>
      <c r="EV13" s="232"/>
      <c r="EW13" s="232"/>
      <c r="EX13" s="232"/>
      <c r="EY13" s="232"/>
      <c r="EZ13" s="232"/>
      <c r="FA13" s="232"/>
      <c r="FB13" s="232"/>
      <c r="FC13" s="232"/>
      <c r="FD13" s="232"/>
      <c r="FE13" s="232"/>
      <c r="FF13" s="232"/>
      <c r="FG13" s="232"/>
      <c r="FH13" s="232"/>
      <c r="FI13" s="232"/>
      <c r="FJ13" s="232"/>
      <c r="FK13" s="232"/>
    </row>
    <row r="14" spans="1:167">
      <c r="A14" s="238"/>
      <c r="B14" s="233" t="s">
        <v>1350</v>
      </c>
      <c r="C14" s="233"/>
      <c r="D14" s="233"/>
      <c r="E14" s="233" t="s">
        <v>1351</v>
      </c>
      <c r="F14" s="233"/>
      <c r="G14" s="233"/>
      <c r="H14" s="239"/>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c r="BX14" s="232"/>
      <c r="BY14" s="232"/>
      <c r="BZ14" s="232"/>
      <c r="CA14" s="232"/>
      <c r="CB14" s="232"/>
      <c r="CC14" s="232"/>
      <c r="CD14" s="232"/>
      <c r="CE14" s="232"/>
      <c r="CF14" s="232"/>
      <c r="CG14" s="232"/>
      <c r="CH14" s="232"/>
      <c r="CI14" s="232"/>
      <c r="CJ14" s="232"/>
      <c r="CK14" s="232"/>
      <c r="CL14" s="232"/>
      <c r="CM14" s="232"/>
      <c r="CN14" s="232"/>
      <c r="CO14" s="232"/>
      <c r="CP14" s="232"/>
      <c r="CQ14" s="232"/>
      <c r="CR14" s="232"/>
      <c r="CS14" s="232"/>
      <c r="CT14" s="232"/>
      <c r="CU14" s="232"/>
      <c r="CV14" s="232"/>
      <c r="CW14" s="232"/>
      <c r="CX14" s="232"/>
      <c r="CY14" s="232"/>
      <c r="CZ14" s="232"/>
      <c r="DA14" s="232"/>
      <c r="DB14" s="232"/>
      <c r="DC14" s="232"/>
      <c r="DD14" s="232"/>
      <c r="DE14" s="232"/>
      <c r="DF14" s="232"/>
      <c r="DG14" s="232"/>
      <c r="DH14" s="232"/>
      <c r="DI14" s="232"/>
      <c r="DJ14" s="232"/>
      <c r="DK14" s="232"/>
      <c r="DL14" s="232"/>
      <c r="DM14" s="232"/>
      <c r="DN14" s="232"/>
      <c r="DO14" s="232"/>
      <c r="DP14" s="232"/>
      <c r="DQ14" s="232"/>
      <c r="DR14" s="232"/>
      <c r="DS14" s="232"/>
      <c r="DT14" s="232"/>
      <c r="DU14" s="232"/>
      <c r="DV14" s="232"/>
      <c r="DW14" s="232"/>
      <c r="DX14" s="232"/>
      <c r="DY14" s="232"/>
      <c r="DZ14" s="232"/>
      <c r="EA14" s="232"/>
      <c r="EB14" s="232"/>
      <c r="EC14" s="232"/>
      <c r="ED14" s="232"/>
      <c r="EE14" s="232"/>
      <c r="EF14" s="232"/>
      <c r="EG14" s="232"/>
      <c r="EH14" s="232"/>
      <c r="EI14" s="232"/>
      <c r="EJ14" s="232"/>
      <c r="EK14" s="232"/>
      <c r="EL14" s="232"/>
      <c r="EM14" s="232"/>
      <c r="EN14" s="232"/>
      <c r="EO14" s="232"/>
      <c r="EP14" s="232"/>
      <c r="EQ14" s="232"/>
      <c r="ER14" s="232"/>
      <c r="ES14" s="232"/>
      <c r="ET14" s="232"/>
      <c r="EU14" s="232"/>
      <c r="EV14" s="232"/>
      <c r="EW14" s="232"/>
      <c r="EX14" s="232"/>
      <c r="EY14" s="232"/>
      <c r="EZ14" s="232"/>
      <c r="FA14" s="232"/>
      <c r="FB14" s="232"/>
      <c r="FC14" s="232"/>
      <c r="FD14" s="232"/>
      <c r="FE14" s="232"/>
      <c r="FF14" s="232"/>
      <c r="FG14" s="232"/>
      <c r="FH14" s="232"/>
      <c r="FI14" s="232"/>
      <c r="FJ14" s="232"/>
      <c r="FK14" s="232"/>
    </row>
    <row r="15" spans="1:167">
      <c r="A15" s="238"/>
      <c r="B15" s="233" t="s">
        <v>88</v>
      </c>
      <c r="C15" s="233"/>
      <c r="D15" s="233"/>
      <c r="E15" s="233" t="s">
        <v>1352</v>
      </c>
      <c r="F15" s="233"/>
      <c r="G15" s="233"/>
      <c r="H15" s="239"/>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c r="BX15" s="232"/>
      <c r="BY15" s="232"/>
      <c r="BZ15" s="232"/>
      <c r="CA15" s="232"/>
      <c r="CB15" s="232"/>
      <c r="CC15" s="232"/>
      <c r="CD15" s="232"/>
      <c r="CE15" s="232"/>
      <c r="CF15" s="232"/>
      <c r="CG15" s="232"/>
      <c r="CH15" s="232"/>
      <c r="CI15" s="232"/>
      <c r="CJ15" s="232"/>
      <c r="CK15" s="232"/>
      <c r="CL15" s="232"/>
      <c r="CM15" s="232"/>
      <c r="CN15" s="232"/>
      <c r="CO15" s="232"/>
      <c r="CP15" s="232"/>
      <c r="CQ15" s="232"/>
      <c r="CR15" s="232"/>
      <c r="CS15" s="232"/>
      <c r="CT15" s="232"/>
      <c r="CU15" s="232"/>
      <c r="CV15" s="232"/>
      <c r="CW15" s="232"/>
      <c r="CX15" s="232"/>
      <c r="CY15" s="232"/>
      <c r="CZ15" s="232"/>
      <c r="DA15" s="232"/>
      <c r="DB15" s="232"/>
      <c r="DC15" s="232"/>
      <c r="DD15" s="232"/>
      <c r="DE15" s="232"/>
      <c r="DF15" s="232"/>
      <c r="DG15" s="232"/>
      <c r="DH15" s="232"/>
      <c r="DI15" s="232"/>
      <c r="DJ15" s="232"/>
      <c r="DK15" s="232"/>
      <c r="DL15" s="232"/>
      <c r="DM15" s="232"/>
      <c r="DN15" s="232"/>
      <c r="DO15" s="232"/>
      <c r="DP15" s="232"/>
      <c r="DQ15" s="232"/>
      <c r="DR15" s="232"/>
      <c r="DS15" s="232"/>
      <c r="DT15" s="232"/>
      <c r="DU15" s="232"/>
      <c r="DV15" s="232"/>
      <c r="DW15" s="232"/>
      <c r="DX15" s="232"/>
      <c r="DY15" s="232"/>
      <c r="DZ15" s="232"/>
      <c r="EA15" s="232"/>
      <c r="EB15" s="232"/>
      <c r="EC15" s="232"/>
      <c r="ED15" s="232"/>
      <c r="EE15" s="232"/>
      <c r="EF15" s="232"/>
      <c r="EG15" s="232"/>
      <c r="EH15" s="232"/>
      <c r="EI15" s="232"/>
      <c r="EJ15" s="232"/>
      <c r="EK15" s="232"/>
      <c r="EL15" s="232"/>
      <c r="EM15" s="232"/>
      <c r="EN15" s="232"/>
      <c r="EO15" s="232"/>
      <c r="EP15" s="232"/>
      <c r="EQ15" s="232"/>
      <c r="ER15" s="232"/>
      <c r="ES15" s="232"/>
      <c r="ET15" s="232"/>
      <c r="EU15" s="232"/>
      <c r="EV15" s="232"/>
      <c r="EW15" s="232"/>
      <c r="EX15" s="232"/>
      <c r="EY15" s="232"/>
      <c r="EZ15" s="232"/>
      <c r="FA15" s="232"/>
      <c r="FB15" s="232"/>
      <c r="FC15" s="232"/>
      <c r="FD15" s="232"/>
      <c r="FE15" s="232"/>
      <c r="FF15" s="232"/>
      <c r="FG15" s="232"/>
      <c r="FH15" s="232"/>
      <c r="FI15" s="232"/>
      <c r="FJ15" s="232"/>
      <c r="FK15" s="232"/>
    </row>
    <row r="16" spans="1:167">
      <c r="A16" s="238"/>
      <c r="B16" s="233"/>
      <c r="C16" s="233"/>
      <c r="D16" s="233"/>
      <c r="E16" s="233"/>
      <c r="F16" s="233"/>
      <c r="G16" s="233"/>
      <c r="H16" s="239"/>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c r="BX16" s="232"/>
      <c r="BY16" s="232"/>
      <c r="BZ16" s="232"/>
      <c r="CA16" s="232"/>
      <c r="CB16" s="232"/>
      <c r="CC16" s="232"/>
      <c r="CD16" s="232"/>
      <c r="CE16" s="232"/>
      <c r="CF16" s="232"/>
      <c r="CG16" s="232"/>
      <c r="CH16" s="232"/>
      <c r="CI16" s="232"/>
      <c r="CJ16" s="232"/>
      <c r="CK16" s="232"/>
      <c r="CL16" s="232"/>
      <c r="CM16" s="232"/>
      <c r="CN16" s="232"/>
      <c r="CO16" s="232"/>
      <c r="CP16" s="232"/>
      <c r="CQ16" s="232"/>
      <c r="CR16" s="232"/>
      <c r="CS16" s="232"/>
      <c r="CT16" s="232"/>
      <c r="CU16" s="232"/>
      <c r="CV16" s="232"/>
      <c r="CW16" s="232"/>
      <c r="CX16" s="232"/>
      <c r="CY16" s="232"/>
      <c r="CZ16" s="232"/>
      <c r="DA16" s="232"/>
      <c r="DB16" s="232"/>
      <c r="DC16" s="232"/>
      <c r="DD16" s="232"/>
      <c r="DE16" s="232"/>
      <c r="DF16" s="232"/>
      <c r="DG16" s="232"/>
      <c r="DH16" s="232"/>
      <c r="DI16" s="232"/>
      <c r="DJ16" s="232"/>
      <c r="DK16" s="232"/>
      <c r="DL16" s="232"/>
      <c r="DM16" s="232"/>
      <c r="DN16" s="232"/>
      <c r="DO16" s="232"/>
      <c r="DP16" s="232"/>
      <c r="DQ16" s="232"/>
      <c r="DR16" s="232"/>
      <c r="DS16" s="232"/>
      <c r="DT16" s="232"/>
      <c r="DU16" s="232"/>
      <c r="DV16" s="232"/>
      <c r="DW16" s="232"/>
      <c r="DX16" s="232"/>
      <c r="DY16" s="232"/>
      <c r="DZ16" s="232"/>
      <c r="EA16" s="232"/>
      <c r="EB16" s="232"/>
      <c r="EC16" s="232"/>
      <c r="ED16" s="232"/>
      <c r="EE16" s="232"/>
      <c r="EF16" s="232"/>
      <c r="EG16" s="232"/>
      <c r="EH16" s="232"/>
      <c r="EI16" s="232"/>
      <c r="EJ16" s="232"/>
      <c r="EK16" s="232"/>
      <c r="EL16" s="232"/>
      <c r="EM16" s="232"/>
      <c r="EN16" s="232"/>
      <c r="EO16" s="232"/>
      <c r="EP16" s="232"/>
      <c r="EQ16" s="232"/>
      <c r="ER16" s="232"/>
      <c r="ES16" s="232"/>
      <c r="ET16" s="232"/>
      <c r="EU16" s="232"/>
      <c r="EV16" s="232"/>
      <c r="EW16" s="232"/>
      <c r="EX16" s="232"/>
      <c r="EY16" s="232"/>
      <c r="EZ16" s="232"/>
      <c r="FA16" s="232"/>
      <c r="FB16" s="232"/>
      <c r="FC16" s="232"/>
      <c r="FD16" s="232"/>
      <c r="FE16" s="232"/>
      <c r="FF16" s="232"/>
      <c r="FG16" s="232"/>
      <c r="FH16" s="232"/>
      <c r="FI16" s="232"/>
      <c r="FJ16" s="232"/>
      <c r="FK16" s="232"/>
    </row>
    <row r="17" spans="1:167">
      <c r="A17" s="1008" t="s">
        <v>1353</v>
      </c>
      <c r="B17" s="1009"/>
      <c r="C17" s="1009"/>
      <c r="D17" s="1009" t="s">
        <v>1354</v>
      </c>
      <c r="E17" s="1009"/>
      <c r="F17" s="1009"/>
      <c r="G17" s="1009"/>
      <c r="H17" s="1010"/>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2"/>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c r="BX17" s="232"/>
      <c r="BY17" s="232"/>
      <c r="BZ17" s="232"/>
      <c r="CA17" s="232"/>
      <c r="CB17" s="232"/>
      <c r="CC17" s="232"/>
      <c r="CD17" s="232"/>
      <c r="CE17" s="232"/>
      <c r="CF17" s="232"/>
      <c r="CG17" s="232"/>
      <c r="CH17" s="232"/>
      <c r="CI17" s="232"/>
      <c r="CJ17" s="232"/>
      <c r="CK17" s="232"/>
      <c r="CL17" s="232"/>
      <c r="CM17" s="232"/>
      <c r="CN17" s="232"/>
      <c r="CO17" s="232"/>
      <c r="CP17" s="232"/>
      <c r="CQ17" s="232"/>
      <c r="CR17" s="232"/>
      <c r="CS17" s="232"/>
      <c r="CT17" s="232"/>
      <c r="CU17" s="232"/>
      <c r="CV17" s="232"/>
      <c r="CW17" s="232"/>
      <c r="CX17" s="232"/>
      <c r="CY17" s="232"/>
      <c r="CZ17" s="232"/>
      <c r="DA17" s="232"/>
      <c r="DB17" s="232"/>
      <c r="DC17" s="232"/>
      <c r="DD17" s="232"/>
      <c r="DE17" s="232"/>
      <c r="DF17" s="232"/>
      <c r="DG17" s="232"/>
      <c r="DH17" s="232"/>
      <c r="DI17" s="232"/>
      <c r="DJ17" s="232"/>
      <c r="DK17" s="232"/>
      <c r="DL17" s="232"/>
      <c r="DM17" s="232"/>
      <c r="DN17" s="232"/>
      <c r="DO17" s="232"/>
      <c r="DP17" s="232"/>
      <c r="DQ17" s="232"/>
      <c r="DR17" s="232"/>
      <c r="DS17" s="232"/>
      <c r="DT17" s="232"/>
      <c r="DU17" s="232"/>
      <c r="DV17" s="232"/>
      <c r="DW17" s="232"/>
      <c r="DX17" s="232"/>
      <c r="DY17" s="232"/>
      <c r="DZ17" s="232"/>
      <c r="EA17" s="232"/>
      <c r="EB17" s="232"/>
      <c r="EC17" s="232"/>
      <c r="ED17" s="232"/>
      <c r="EE17" s="232"/>
      <c r="EF17" s="232"/>
      <c r="EG17" s="232"/>
      <c r="EH17" s="232"/>
      <c r="EI17" s="232"/>
      <c r="EJ17" s="232"/>
      <c r="EK17" s="232"/>
      <c r="EL17" s="232"/>
      <c r="EM17" s="232"/>
      <c r="EN17" s="232"/>
      <c r="EO17" s="232"/>
      <c r="EP17" s="232"/>
      <c r="EQ17" s="232"/>
      <c r="ER17" s="232"/>
      <c r="ES17" s="232"/>
      <c r="ET17" s="232"/>
      <c r="EU17" s="232"/>
      <c r="EV17" s="232"/>
      <c r="EW17" s="232"/>
      <c r="EX17" s="232"/>
      <c r="EY17" s="232"/>
      <c r="EZ17" s="232"/>
      <c r="FA17" s="232"/>
      <c r="FB17" s="232"/>
      <c r="FC17" s="232"/>
      <c r="FD17" s="232"/>
      <c r="FE17" s="232"/>
      <c r="FF17" s="232"/>
      <c r="FG17" s="232"/>
      <c r="FH17" s="232"/>
      <c r="FI17" s="232"/>
      <c r="FJ17" s="232"/>
      <c r="FK17" s="232"/>
    </row>
    <row r="18" spans="1:167">
      <c r="A18" s="238"/>
      <c r="B18" s="233" t="s">
        <v>1355</v>
      </c>
      <c r="C18" s="233" t="s">
        <v>1356</v>
      </c>
      <c r="D18" s="235">
        <v>1000</v>
      </c>
      <c r="E18" s="235"/>
      <c r="F18" s="235"/>
      <c r="G18" s="233"/>
      <c r="H18" s="239"/>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c r="BX18" s="232"/>
      <c r="BY18" s="232"/>
      <c r="BZ18" s="232"/>
      <c r="CA18" s="232"/>
      <c r="CB18" s="232"/>
      <c r="CC18" s="232"/>
      <c r="CD18" s="232"/>
      <c r="CE18" s="232"/>
      <c r="CF18" s="232"/>
      <c r="CG18" s="232"/>
      <c r="CH18" s="232"/>
      <c r="CI18" s="232"/>
      <c r="CJ18" s="232"/>
      <c r="CK18" s="232"/>
      <c r="CL18" s="232"/>
      <c r="CM18" s="232"/>
      <c r="CN18" s="232"/>
      <c r="CO18" s="232"/>
      <c r="CP18" s="232"/>
      <c r="CQ18" s="232"/>
      <c r="CR18" s="232"/>
      <c r="CS18" s="232"/>
      <c r="CT18" s="232"/>
      <c r="CU18" s="232"/>
      <c r="CV18" s="232"/>
      <c r="CW18" s="232"/>
      <c r="CX18" s="232"/>
      <c r="CY18" s="232"/>
      <c r="CZ18" s="232"/>
      <c r="DA18" s="232"/>
      <c r="DB18" s="232"/>
      <c r="DC18" s="232"/>
      <c r="DD18" s="232"/>
      <c r="DE18" s="232"/>
      <c r="DF18" s="232"/>
      <c r="DG18" s="232"/>
      <c r="DH18" s="232"/>
      <c r="DI18" s="232"/>
      <c r="DJ18" s="232"/>
      <c r="DK18" s="232"/>
      <c r="DL18" s="232"/>
      <c r="DM18" s="232"/>
      <c r="DN18" s="232"/>
      <c r="DO18" s="232"/>
      <c r="DP18" s="232"/>
      <c r="DQ18" s="232"/>
      <c r="DR18" s="232"/>
      <c r="DS18" s="232"/>
      <c r="DT18" s="232"/>
      <c r="DU18" s="232"/>
      <c r="DV18" s="232"/>
      <c r="DW18" s="232"/>
      <c r="DX18" s="232"/>
      <c r="DY18" s="232"/>
      <c r="DZ18" s="232"/>
      <c r="EA18" s="232"/>
      <c r="EB18" s="232"/>
      <c r="EC18" s="232"/>
      <c r="ED18" s="232"/>
      <c r="EE18" s="232"/>
      <c r="EF18" s="232"/>
      <c r="EG18" s="232"/>
      <c r="EH18" s="232"/>
      <c r="EI18" s="232"/>
      <c r="EJ18" s="232"/>
      <c r="EK18" s="232"/>
      <c r="EL18" s="232"/>
      <c r="EM18" s="232"/>
      <c r="EN18" s="232"/>
      <c r="EO18" s="232"/>
      <c r="EP18" s="232"/>
      <c r="EQ18" s="232"/>
      <c r="ER18" s="232"/>
      <c r="ES18" s="232"/>
      <c r="ET18" s="232"/>
      <c r="EU18" s="232"/>
      <c r="EV18" s="232"/>
      <c r="EW18" s="232"/>
      <c r="EX18" s="232"/>
      <c r="EY18" s="232"/>
      <c r="EZ18" s="232"/>
      <c r="FA18" s="232"/>
      <c r="FB18" s="232"/>
      <c r="FC18" s="232"/>
      <c r="FD18" s="232"/>
      <c r="FE18" s="232"/>
      <c r="FF18" s="232"/>
      <c r="FG18" s="232"/>
      <c r="FH18" s="232"/>
      <c r="FI18" s="232"/>
      <c r="FJ18" s="232"/>
      <c r="FK18" s="232"/>
    </row>
    <row r="19" spans="1:167">
      <c r="A19" s="238"/>
      <c r="B19" s="233" t="s">
        <v>1357</v>
      </c>
      <c r="C19" s="233" t="s">
        <v>1356</v>
      </c>
      <c r="D19" s="235">
        <v>1000000</v>
      </c>
      <c r="E19" s="235"/>
      <c r="F19" s="235"/>
      <c r="G19" s="233"/>
      <c r="H19" s="239"/>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c r="BX19" s="232"/>
      <c r="BY19" s="232"/>
      <c r="BZ19" s="232"/>
      <c r="CA19" s="232"/>
      <c r="CB19" s="232"/>
      <c r="CC19" s="232"/>
      <c r="CD19" s="232"/>
      <c r="CE19" s="232"/>
      <c r="CF19" s="232"/>
      <c r="CG19" s="232"/>
      <c r="CH19" s="232"/>
      <c r="CI19" s="232"/>
      <c r="CJ19" s="232"/>
      <c r="CK19" s="232"/>
      <c r="CL19" s="232"/>
      <c r="CM19" s="232"/>
      <c r="CN19" s="232"/>
      <c r="CO19" s="232"/>
      <c r="CP19" s="232"/>
      <c r="CQ19" s="232"/>
      <c r="CR19" s="232"/>
      <c r="CS19" s="232"/>
      <c r="CT19" s="232"/>
      <c r="CU19" s="232"/>
      <c r="CV19" s="232"/>
      <c r="CW19" s="232"/>
      <c r="CX19" s="232"/>
      <c r="CY19" s="232"/>
      <c r="CZ19" s="232"/>
      <c r="DA19" s="232"/>
      <c r="DB19" s="232"/>
      <c r="DC19" s="232"/>
      <c r="DD19" s="232"/>
      <c r="DE19" s="232"/>
      <c r="DF19" s="232"/>
      <c r="DG19" s="232"/>
      <c r="DH19" s="232"/>
      <c r="DI19" s="232"/>
      <c r="DJ19" s="232"/>
      <c r="DK19" s="232"/>
      <c r="DL19" s="232"/>
      <c r="DM19" s="232"/>
      <c r="DN19" s="232"/>
      <c r="DO19" s="232"/>
      <c r="DP19" s="232"/>
      <c r="DQ19" s="232"/>
      <c r="DR19" s="232"/>
      <c r="DS19" s="232"/>
      <c r="DT19" s="232"/>
      <c r="DU19" s="232"/>
      <c r="DV19" s="232"/>
      <c r="DW19" s="232"/>
      <c r="DX19" s="232"/>
      <c r="DY19" s="232"/>
      <c r="DZ19" s="232"/>
      <c r="EA19" s="232"/>
      <c r="EB19" s="232"/>
      <c r="EC19" s="232"/>
      <c r="ED19" s="232"/>
      <c r="EE19" s="232"/>
      <c r="EF19" s="232"/>
      <c r="EG19" s="232"/>
      <c r="EH19" s="232"/>
      <c r="EI19" s="232"/>
      <c r="EJ19" s="232"/>
      <c r="EK19" s="232"/>
      <c r="EL19" s="232"/>
      <c r="EM19" s="232"/>
      <c r="EN19" s="232"/>
      <c r="EO19" s="232"/>
      <c r="EP19" s="232"/>
      <c r="EQ19" s="232"/>
      <c r="ER19" s="232"/>
      <c r="ES19" s="232"/>
      <c r="ET19" s="232"/>
      <c r="EU19" s="232"/>
      <c r="EV19" s="232"/>
      <c r="EW19" s="232"/>
      <c r="EX19" s="232"/>
      <c r="EY19" s="232"/>
      <c r="EZ19" s="232"/>
      <c r="FA19" s="232"/>
      <c r="FB19" s="232"/>
      <c r="FC19" s="232"/>
      <c r="FD19" s="232"/>
      <c r="FE19" s="232"/>
      <c r="FF19" s="232"/>
      <c r="FG19" s="232"/>
      <c r="FH19" s="232"/>
      <c r="FI19" s="232"/>
      <c r="FJ19" s="232"/>
      <c r="FK19" s="232"/>
    </row>
    <row r="20" spans="1:167">
      <c r="A20" s="238"/>
      <c r="B20" s="233" t="s">
        <v>1358</v>
      </c>
      <c r="C20" s="233" t="s">
        <v>1356</v>
      </c>
      <c r="D20" s="235">
        <v>1000000000</v>
      </c>
      <c r="E20" s="235"/>
      <c r="F20" s="235"/>
      <c r="G20" s="233"/>
      <c r="H20" s="239"/>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2"/>
      <c r="AZ20" s="232"/>
      <c r="BA20" s="232"/>
      <c r="BB20" s="232"/>
      <c r="BC20" s="232"/>
      <c r="BD20" s="232"/>
      <c r="BE20" s="232"/>
      <c r="BF20" s="232"/>
      <c r="BG20" s="232"/>
      <c r="BH20" s="232"/>
      <c r="BI20" s="232"/>
      <c r="BJ20" s="232"/>
      <c r="BK20" s="232"/>
      <c r="BL20" s="232"/>
      <c r="BM20" s="232"/>
      <c r="BN20" s="232"/>
      <c r="BO20" s="232"/>
      <c r="BP20" s="232"/>
      <c r="BQ20" s="232"/>
      <c r="BR20" s="232"/>
      <c r="BS20" s="232"/>
      <c r="BT20" s="232"/>
      <c r="BU20" s="232"/>
      <c r="BV20" s="232"/>
      <c r="BW20" s="232"/>
      <c r="BX20" s="232"/>
      <c r="BY20" s="232"/>
      <c r="BZ20" s="232"/>
      <c r="CA20" s="232"/>
      <c r="CB20" s="232"/>
      <c r="CC20" s="232"/>
      <c r="CD20" s="232"/>
      <c r="CE20" s="232"/>
      <c r="CF20" s="232"/>
      <c r="CG20" s="232"/>
      <c r="CH20" s="232"/>
      <c r="CI20" s="232"/>
      <c r="CJ20" s="232"/>
      <c r="CK20" s="232"/>
      <c r="CL20" s="232"/>
      <c r="CM20" s="232"/>
      <c r="CN20" s="232"/>
      <c r="CO20" s="232"/>
      <c r="CP20" s="232"/>
      <c r="CQ20" s="232"/>
      <c r="CR20" s="232"/>
      <c r="CS20" s="232"/>
      <c r="CT20" s="232"/>
      <c r="CU20" s="232"/>
      <c r="CV20" s="232"/>
      <c r="CW20" s="232"/>
      <c r="CX20" s="232"/>
      <c r="CY20" s="232"/>
      <c r="CZ20" s="232"/>
      <c r="DA20" s="232"/>
      <c r="DB20" s="232"/>
      <c r="DC20" s="232"/>
      <c r="DD20" s="232"/>
      <c r="DE20" s="232"/>
      <c r="DF20" s="232"/>
      <c r="DG20" s="232"/>
      <c r="DH20" s="232"/>
      <c r="DI20" s="232"/>
      <c r="DJ20" s="232"/>
      <c r="DK20" s="232"/>
      <c r="DL20" s="232"/>
      <c r="DM20" s="232"/>
      <c r="DN20" s="232"/>
      <c r="DO20" s="232"/>
      <c r="DP20" s="232"/>
      <c r="DQ20" s="232"/>
      <c r="DR20" s="232"/>
      <c r="DS20" s="232"/>
      <c r="DT20" s="232"/>
      <c r="DU20" s="232"/>
      <c r="DV20" s="232"/>
      <c r="DW20" s="232"/>
      <c r="DX20" s="232"/>
      <c r="DY20" s="232"/>
      <c r="DZ20" s="232"/>
      <c r="EA20" s="232"/>
      <c r="EB20" s="232"/>
      <c r="EC20" s="232"/>
      <c r="ED20" s="232"/>
      <c r="EE20" s="232"/>
      <c r="EF20" s="232"/>
      <c r="EG20" s="232"/>
      <c r="EH20" s="232"/>
      <c r="EI20" s="232"/>
      <c r="EJ20" s="232"/>
      <c r="EK20" s="232"/>
      <c r="EL20" s="232"/>
      <c r="EM20" s="232"/>
      <c r="EN20" s="232"/>
      <c r="EO20" s="232"/>
      <c r="EP20" s="232"/>
      <c r="EQ20" s="232"/>
      <c r="ER20" s="232"/>
      <c r="ES20" s="232"/>
      <c r="ET20" s="232"/>
      <c r="EU20" s="232"/>
      <c r="EV20" s="232"/>
      <c r="EW20" s="232"/>
      <c r="EX20" s="232"/>
      <c r="EY20" s="232"/>
      <c r="EZ20" s="232"/>
      <c r="FA20" s="232"/>
      <c r="FB20" s="232"/>
      <c r="FC20" s="232"/>
      <c r="FD20" s="232"/>
      <c r="FE20" s="232"/>
      <c r="FF20" s="232"/>
      <c r="FG20" s="232"/>
      <c r="FH20" s="232"/>
      <c r="FI20" s="232"/>
      <c r="FJ20" s="232"/>
      <c r="FK20" s="232"/>
    </row>
    <row r="21" spans="1:167">
      <c r="A21" s="238"/>
      <c r="B21" s="233" t="s">
        <v>1359</v>
      </c>
      <c r="C21" s="233" t="s">
        <v>1356</v>
      </c>
      <c r="D21" s="235">
        <v>1000000000000</v>
      </c>
      <c r="E21" s="235"/>
      <c r="F21" s="235"/>
      <c r="G21" s="233"/>
      <c r="H21" s="239"/>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232"/>
      <c r="BC21" s="232"/>
      <c r="BD21" s="232"/>
      <c r="BE21" s="232"/>
      <c r="BF21" s="232"/>
      <c r="BG21" s="232"/>
      <c r="BH21" s="232"/>
      <c r="BI21" s="232"/>
      <c r="BJ21" s="232"/>
      <c r="BK21" s="232"/>
      <c r="BL21" s="232"/>
      <c r="BM21" s="232"/>
      <c r="BN21" s="232"/>
      <c r="BO21" s="232"/>
      <c r="BP21" s="232"/>
      <c r="BQ21" s="232"/>
      <c r="BR21" s="232"/>
      <c r="BS21" s="232"/>
      <c r="BT21" s="232"/>
      <c r="BU21" s="232"/>
      <c r="BV21" s="232"/>
      <c r="BW21" s="232"/>
      <c r="BX21" s="232"/>
      <c r="BY21" s="232"/>
      <c r="BZ21" s="232"/>
      <c r="CA21" s="232"/>
      <c r="CB21" s="232"/>
      <c r="CC21" s="232"/>
      <c r="CD21" s="232"/>
      <c r="CE21" s="232"/>
      <c r="CF21" s="232"/>
      <c r="CG21" s="232"/>
      <c r="CH21" s="232"/>
      <c r="CI21" s="232"/>
      <c r="CJ21" s="232"/>
      <c r="CK21" s="232"/>
      <c r="CL21" s="232"/>
      <c r="CM21" s="232"/>
      <c r="CN21" s="232"/>
      <c r="CO21" s="232"/>
      <c r="CP21" s="232"/>
      <c r="CQ21" s="232"/>
      <c r="CR21" s="232"/>
      <c r="CS21" s="232"/>
      <c r="CT21" s="232"/>
      <c r="CU21" s="232"/>
      <c r="CV21" s="232"/>
      <c r="CW21" s="232"/>
      <c r="CX21" s="232"/>
      <c r="CY21" s="232"/>
      <c r="CZ21" s="232"/>
      <c r="DA21" s="232"/>
      <c r="DB21" s="232"/>
      <c r="DC21" s="232"/>
      <c r="DD21" s="232"/>
      <c r="DE21" s="232"/>
      <c r="DF21" s="232"/>
      <c r="DG21" s="232"/>
      <c r="DH21" s="232"/>
      <c r="DI21" s="232"/>
      <c r="DJ21" s="232"/>
      <c r="DK21" s="232"/>
      <c r="DL21" s="232"/>
      <c r="DM21" s="232"/>
      <c r="DN21" s="232"/>
      <c r="DO21" s="232"/>
      <c r="DP21" s="232"/>
      <c r="DQ21" s="232"/>
      <c r="DR21" s="232"/>
      <c r="DS21" s="232"/>
      <c r="DT21" s="232"/>
      <c r="DU21" s="232"/>
      <c r="DV21" s="232"/>
      <c r="DW21" s="232"/>
      <c r="DX21" s="232"/>
      <c r="DY21" s="232"/>
      <c r="DZ21" s="232"/>
      <c r="EA21" s="232"/>
      <c r="EB21" s="232"/>
      <c r="EC21" s="232"/>
      <c r="ED21" s="232"/>
      <c r="EE21" s="232"/>
      <c r="EF21" s="232"/>
      <c r="EG21" s="232"/>
      <c r="EH21" s="232"/>
      <c r="EI21" s="232"/>
      <c r="EJ21" s="232"/>
      <c r="EK21" s="232"/>
      <c r="EL21" s="232"/>
      <c r="EM21" s="232"/>
      <c r="EN21" s="232"/>
      <c r="EO21" s="232"/>
      <c r="EP21" s="232"/>
      <c r="EQ21" s="232"/>
      <c r="ER21" s="232"/>
      <c r="ES21" s="232"/>
      <c r="ET21" s="232"/>
      <c r="EU21" s="232"/>
      <c r="EV21" s="232"/>
      <c r="EW21" s="232"/>
      <c r="EX21" s="232"/>
      <c r="EY21" s="232"/>
      <c r="EZ21" s="232"/>
      <c r="FA21" s="232"/>
      <c r="FB21" s="232"/>
      <c r="FC21" s="232"/>
      <c r="FD21" s="232"/>
      <c r="FE21" s="232"/>
      <c r="FF21" s="232"/>
      <c r="FG21" s="232"/>
      <c r="FH21" s="232"/>
      <c r="FI21" s="232"/>
      <c r="FJ21" s="232"/>
      <c r="FK21" s="232"/>
    </row>
    <row r="22" spans="1:167">
      <c r="A22" s="238"/>
      <c r="B22" s="233"/>
      <c r="C22" s="233"/>
      <c r="D22" s="233"/>
      <c r="E22" s="233"/>
      <c r="F22" s="233"/>
      <c r="G22" s="233"/>
      <c r="H22" s="239"/>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c r="BX22" s="232"/>
      <c r="BY22" s="232"/>
      <c r="BZ22" s="232"/>
      <c r="CA22" s="232"/>
      <c r="CB22" s="232"/>
      <c r="CC22" s="232"/>
      <c r="CD22" s="232"/>
      <c r="CE22" s="232"/>
      <c r="CF22" s="232"/>
      <c r="CG22" s="232"/>
      <c r="CH22" s="232"/>
      <c r="CI22" s="232"/>
      <c r="CJ22" s="232"/>
      <c r="CK22" s="232"/>
      <c r="CL22" s="232"/>
      <c r="CM22" s="232"/>
      <c r="CN22" s="232"/>
      <c r="CO22" s="232"/>
      <c r="CP22" s="232"/>
      <c r="CQ22" s="232"/>
      <c r="CR22" s="232"/>
      <c r="CS22" s="232"/>
      <c r="CT22" s="232"/>
      <c r="CU22" s="232"/>
      <c r="CV22" s="232"/>
      <c r="CW22" s="232"/>
      <c r="CX22" s="232"/>
      <c r="CY22" s="232"/>
      <c r="CZ22" s="232"/>
      <c r="DA22" s="232"/>
      <c r="DB22" s="232"/>
      <c r="DC22" s="232"/>
      <c r="DD22" s="232"/>
      <c r="DE22" s="232"/>
      <c r="DF22" s="232"/>
      <c r="DG22" s="232"/>
      <c r="DH22" s="232"/>
      <c r="DI22" s="232"/>
      <c r="DJ22" s="232"/>
      <c r="DK22" s="232"/>
      <c r="DL22" s="232"/>
      <c r="DM22" s="232"/>
      <c r="DN22" s="232"/>
      <c r="DO22" s="232"/>
      <c r="DP22" s="232"/>
      <c r="DQ22" s="232"/>
      <c r="DR22" s="232"/>
      <c r="DS22" s="232"/>
      <c r="DT22" s="232"/>
      <c r="DU22" s="232"/>
      <c r="DV22" s="232"/>
      <c r="DW22" s="232"/>
      <c r="DX22" s="232"/>
      <c r="DY22" s="232"/>
      <c r="DZ22" s="232"/>
      <c r="EA22" s="232"/>
      <c r="EB22" s="232"/>
      <c r="EC22" s="232"/>
      <c r="ED22" s="232"/>
      <c r="EE22" s="232"/>
      <c r="EF22" s="232"/>
      <c r="EG22" s="232"/>
      <c r="EH22" s="232"/>
      <c r="EI22" s="232"/>
      <c r="EJ22" s="232"/>
      <c r="EK22" s="232"/>
      <c r="EL22" s="232"/>
      <c r="EM22" s="232"/>
      <c r="EN22" s="232"/>
      <c r="EO22" s="232"/>
      <c r="EP22" s="232"/>
      <c r="EQ22" s="232"/>
      <c r="ER22" s="232"/>
      <c r="ES22" s="232"/>
      <c r="ET22" s="232"/>
      <c r="EU22" s="232"/>
      <c r="EV22" s="232"/>
      <c r="EW22" s="232"/>
      <c r="EX22" s="232"/>
      <c r="EY22" s="232"/>
      <c r="EZ22" s="232"/>
      <c r="FA22" s="232"/>
      <c r="FB22" s="232"/>
      <c r="FC22" s="232"/>
      <c r="FD22" s="232"/>
      <c r="FE22" s="232"/>
      <c r="FF22" s="232"/>
      <c r="FG22" s="232"/>
      <c r="FH22" s="232"/>
      <c r="FI22" s="232"/>
      <c r="FJ22" s="232"/>
      <c r="FK22" s="232"/>
    </row>
    <row r="23" spans="1:167">
      <c r="A23" s="1008" t="s">
        <v>1360</v>
      </c>
      <c r="B23" s="1009"/>
      <c r="C23" s="1009"/>
      <c r="D23" s="1009"/>
      <c r="E23" s="1009"/>
      <c r="F23" s="1009"/>
      <c r="G23" s="1009"/>
      <c r="H23" s="1010"/>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c r="BX23" s="232"/>
      <c r="BY23" s="232"/>
      <c r="BZ23" s="232"/>
      <c r="CA23" s="232"/>
      <c r="CB23" s="232"/>
      <c r="CC23" s="232"/>
      <c r="CD23" s="232"/>
      <c r="CE23" s="232"/>
      <c r="CF23" s="232"/>
      <c r="CG23" s="232"/>
      <c r="CH23" s="232"/>
      <c r="CI23" s="232"/>
      <c r="CJ23" s="232"/>
      <c r="CK23" s="232"/>
      <c r="CL23" s="232"/>
      <c r="CM23" s="232"/>
      <c r="CN23" s="232"/>
      <c r="CO23" s="232"/>
      <c r="CP23" s="232"/>
      <c r="CQ23" s="232"/>
      <c r="CR23" s="232"/>
      <c r="CS23" s="232"/>
      <c r="CT23" s="232"/>
      <c r="CU23" s="232"/>
      <c r="CV23" s="232"/>
      <c r="CW23" s="232"/>
      <c r="CX23" s="232"/>
      <c r="CY23" s="232"/>
      <c r="CZ23" s="232"/>
      <c r="DA23" s="232"/>
      <c r="DB23" s="232"/>
      <c r="DC23" s="232"/>
      <c r="DD23" s="232"/>
      <c r="DE23" s="232"/>
      <c r="DF23" s="232"/>
      <c r="DG23" s="232"/>
      <c r="DH23" s="232"/>
      <c r="DI23" s="232"/>
      <c r="DJ23" s="232"/>
      <c r="DK23" s="232"/>
      <c r="DL23" s="232"/>
      <c r="DM23" s="232"/>
      <c r="DN23" s="232"/>
      <c r="DO23" s="232"/>
      <c r="DP23" s="232"/>
      <c r="DQ23" s="232"/>
      <c r="DR23" s="232"/>
      <c r="DS23" s="232"/>
      <c r="DT23" s="232"/>
      <c r="DU23" s="232"/>
      <c r="DV23" s="232"/>
      <c r="DW23" s="232"/>
      <c r="DX23" s="232"/>
      <c r="DY23" s="232"/>
      <c r="DZ23" s="232"/>
      <c r="EA23" s="232"/>
      <c r="EB23" s="232"/>
      <c r="EC23" s="232"/>
      <c r="ED23" s="232"/>
      <c r="EE23" s="232"/>
      <c r="EF23" s="232"/>
      <c r="EG23" s="232"/>
      <c r="EH23" s="232"/>
      <c r="EI23" s="232"/>
      <c r="EJ23" s="232"/>
      <c r="EK23" s="232"/>
      <c r="EL23" s="232"/>
      <c r="EM23" s="232"/>
      <c r="EN23" s="232"/>
      <c r="EO23" s="232"/>
      <c r="EP23" s="232"/>
      <c r="EQ23" s="232"/>
      <c r="ER23" s="232"/>
      <c r="ES23" s="232"/>
      <c r="ET23" s="232"/>
      <c r="EU23" s="232"/>
      <c r="EV23" s="232"/>
      <c r="EW23" s="232"/>
      <c r="EX23" s="232"/>
      <c r="EY23" s="232"/>
      <c r="EZ23" s="232"/>
      <c r="FA23" s="232"/>
      <c r="FB23" s="232"/>
      <c r="FC23" s="232"/>
      <c r="FD23" s="232"/>
      <c r="FE23" s="232"/>
      <c r="FF23" s="232"/>
      <c r="FG23" s="232"/>
      <c r="FH23" s="232"/>
      <c r="FI23" s="232"/>
      <c r="FJ23" s="232"/>
      <c r="FK23" s="232"/>
    </row>
    <row r="24" spans="1:167">
      <c r="A24" s="238">
        <v>1</v>
      </c>
      <c r="B24" s="233" t="s">
        <v>1361</v>
      </c>
      <c r="C24" s="233" t="s">
        <v>1356</v>
      </c>
      <c r="D24" s="236">
        <v>1.609</v>
      </c>
      <c r="E24" s="233" t="s">
        <v>1362</v>
      </c>
      <c r="F24" s="233"/>
      <c r="G24" s="233"/>
      <c r="H24" s="239"/>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2"/>
      <c r="BP24" s="232"/>
      <c r="BQ24" s="232"/>
      <c r="BR24" s="232"/>
      <c r="BS24" s="232"/>
      <c r="BT24" s="232"/>
      <c r="BU24" s="232"/>
      <c r="BV24" s="232"/>
      <c r="BW24" s="232"/>
      <c r="BX24" s="232"/>
      <c r="BY24" s="232"/>
      <c r="BZ24" s="232"/>
      <c r="CA24" s="232"/>
      <c r="CB24" s="232"/>
      <c r="CC24" s="232"/>
      <c r="CD24" s="232"/>
      <c r="CE24" s="232"/>
      <c r="CF24" s="232"/>
      <c r="CG24" s="232"/>
      <c r="CH24" s="232"/>
      <c r="CI24" s="232"/>
      <c r="CJ24" s="232"/>
      <c r="CK24" s="232"/>
      <c r="CL24" s="232"/>
      <c r="CM24" s="232"/>
      <c r="CN24" s="232"/>
      <c r="CO24" s="232"/>
      <c r="CP24" s="232"/>
      <c r="CQ24" s="232"/>
      <c r="CR24" s="232"/>
      <c r="CS24" s="232"/>
      <c r="CT24" s="232"/>
      <c r="CU24" s="232"/>
      <c r="CV24" s="232"/>
      <c r="CW24" s="232"/>
      <c r="CX24" s="232"/>
      <c r="CY24" s="232"/>
      <c r="CZ24" s="232"/>
      <c r="DA24" s="232"/>
      <c r="DB24" s="232"/>
      <c r="DC24" s="232"/>
      <c r="DD24" s="232"/>
      <c r="DE24" s="232"/>
      <c r="DF24" s="232"/>
      <c r="DG24" s="232"/>
      <c r="DH24" s="232"/>
      <c r="DI24" s="232"/>
      <c r="DJ24" s="232"/>
      <c r="DK24" s="232"/>
      <c r="DL24" s="232"/>
      <c r="DM24" s="232"/>
      <c r="DN24" s="232"/>
      <c r="DO24" s="232"/>
      <c r="DP24" s="232"/>
      <c r="DQ24" s="232"/>
      <c r="DR24" s="232"/>
      <c r="DS24" s="232"/>
      <c r="DT24" s="232"/>
      <c r="DU24" s="232"/>
      <c r="DV24" s="232"/>
      <c r="DW24" s="232"/>
      <c r="DX24" s="232"/>
      <c r="DY24" s="232"/>
      <c r="DZ24" s="232"/>
      <c r="EA24" s="232"/>
      <c r="EB24" s="232"/>
      <c r="EC24" s="232"/>
      <c r="ED24" s="232"/>
      <c r="EE24" s="232"/>
      <c r="EF24" s="232"/>
      <c r="EG24" s="232"/>
      <c r="EH24" s="232"/>
      <c r="EI24" s="232"/>
      <c r="EJ24" s="232"/>
      <c r="EK24" s="232"/>
      <c r="EL24" s="232"/>
      <c r="EM24" s="232"/>
      <c r="EN24" s="232"/>
      <c r="EO24" s="232"/>
      <c r="EP24" s="232"/>
      <c r="EQ24" s="232"/>
      <c r="ER24" s="232"/>
      <c r="ES24" s="232"/>
      <c r="ET24" s="232"/>
      <c r="EU24" s="232"/>
      <c r="EV24" s="232"/>
      <c r="EW24" s="232"/>
      <c r="EX24" s="232"/>
      <c r="EY24" s="232"/>
      <c r="EZ24" s="232"/>
      <c r="FA24" s="232"/>
      <c r="FB24" s="232"/>
      <c r="FC24" s="232"/>
      <c r="FD24" s="232"/>
      <c r="FE24" s="232"/>
      <c r="FF24" s="232"/>
      <c r="FG24" s="232"/>
      <c r="FH24" s="232"/>
      <c r="FI24" s="232"/>
      <c r="FJ24" s="232"/>
      <c r="FK24" s="232"/>
    </row>
    <row r="25" spans="1:167">
      <c r="A25" s="238">
        <v>1</v>
      </c>
      <c r="B25" s="233" t="s">
        <v>1350</v>
      </c>
      <c r="C25" s="233" t="s">
        <v>1356</v>
      </c>
      <c r="D25" s="236">
        <v>0.4536</v>
      </c>
      <c r="E25" s="233" t="s">
        <v>88</v>
      </c>
      <c r="F25" s="233"/>
      <c r="G25" s="233"/>
      <c r="H25" s="239"/>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c r="AP25" s="232"/>
      <c r="AQ25" s="232"/>
      <c r="AR25" s="232"/>
      <c r="AS25" s="232"/>
      <c r="AT25" s="232"/>
      <c r="AU25" s="232"/>
      <c r="AV25" s="232"/>
      <c r="AW25" s="232"/>
      <c r="AX25" s="232"/>
      <c r="AY25" s="232"/>
      <c r="AZ25" s="232"/>
      <c r="BA25" s="232"/>
      <c r="BB25" s="232"/>
      <c r="BC25" s="232"/>
      <c r="BD25" s="232"/>
      <c r="BE25" s="232"/>
      <c r="BF25" s="232"/>
      <c r="BG25" s="232"/>
      <c r="BH25" s="232"/>
      <c r="BI25" s="232"/>
      <c r="BJ25" s="232"/>
      <c r="BK25" s="232"/>
      <c r="BL25" s="232"/>
      <c r="BM25" s="232"/>
      <c r="BN25" s="232"/>
      <c r="BO25" s="232"/>
      <c r="BP25" s="232"/>
      <c r="BQ25" s="232"/>
      <c r="BR25" s="232"/>
      <c r="BS25" s="232"/>
      <c r="BT25" s="232"/>
      <c r="BU25" s="232"/>
      <c r="BV25" s="232"/>
      <c r="BW25" s="232"/>
      <c r="BX25" s="232"/>
      <c r="BY25" s="232"/>
      <c r="BZ25" s="232"/>
      <c r="CA25" s="232"/>
      <c r="CB25" s="232"/>
      <c r="CC25" s="232"/>
      <c r="CD25" s="232"/>
      <c r="CE25" s="232"/>
      <c r="CF25" s="232"/>
      <c r="CG25" s="232"/>
      <c r="CH25" s="232"/>
      <c r="CI25" s="232"/>
      <c r="CJ25" s="232"/>
      <c r="CK25" s="232"/>
      <c r="CL25" s="232"/>
      <c r="CM25" s="232"/>
      <c r="CN25" s="232"/>
      <c r="CO25" s="232"/>
      <c r="CP25" s="232"/>
      <c r="CQ25" s="232"/>
      <c r="CR25" s="232"/>
      <c r="CS25" s="232"/>
      <c r="CT25" s="232"/>
      <c r="CU25" s="232"/>
      <c r="CV25" s="232"/>
      <c r="CW25" s="232"/>
      <c r="CX25" s="232"/>
      <c r="CY25" s="232"/>
      <c r="CZ25" s="232"/>
      <c r="DA25" s="232"/>
      <c r="DB25" s="232"/>
      <c r="DC25" s="232"/>
      <c r="DD25" s="232"/>
      <c r="DE25" s="232"/>
      <c r="DF25" s="232"/>
      <c r="DG25" s="232"/>
      <c r="DH25" s="232"/>
      <c r="DI25" s="232"/>
      <c r="DJ25" s="232"/>
      <c r="DK25" s="232"/>
      <c r="DL25" s="232"/>
      <c r="DM25" s="232"/>
      <c r="DN25" s="232"/>
      <c r="DO25" s="232"/>
      <c r="DP25" s="232"/>
      <c r="DQ25" s="232"/>
      <c r="DR25" s="232"/>
      <c r="DS25" s="232"/>
      <c r="DT25" s="232"/>
      <c r="DU25" s="232"/>
      <c r="DV25" s="232"/>
      <c r="DW25" s="232"/>
      <c r="DX25" s="232"/>
      <c r="DY25" s="232"/>
      <c r="DZ25" s="232"/>
      <c r="EA25" s="232"/>
      <c r="EB25" s="232"/>
      <c r="EC25" s="232"/>
      <c r="ED25" s="232"/>
      <c r="EE25" s="232"/>
      <c r="EF25" s="232"/>
      <c r="EG25" s="232"/>
      <c r="EH25" s="232"/>
      <c r="EI25" s="232"/>
      <c r="EJ25" s="232"/>
      <c r="EK25" s="232"/>
      <c r="EL25" s="232"/>
      <c r="EM25" s="232"/>
      <c r="EN25" s="232"/>
      <c r="EO25" s="232"/>
      <c r="EP25" s="232"/>
      <c r="EQ25" s="232"/>
      <c r="ER25" s="232"/>
      <c r="ES25" s="232"/>
      <c r="ET25" s="232"/>
      <c r="EU25" s="232"/>
      <c r="EV25" s="232"/>
      <c r="EW25" s="232"/>
      <c r="EX25" s="232"/>
      <c r="EY25" s="232"/>
      <c r="EZ25" s="232"/>
      <c r="FA25" s="232"/>
      <c r="FB25" s="232"/>
      <c r="FC25" s="232"/>
      <c r="FD25" s="232"/>
      <c r="FE25" s="232"/>
      <c r="FF25" s="232"/>
      <c r="FG25" s="232"/>
      <c r="FH25" s="232"/>
      <c r="FI25" s="232"/>
      <c r="FJ25" s="232"/>
      <c r="FK25" s="232"/>
    </row>
    <row r="26" spans="1:167">
      <c r="A26" s="238">
        <v>1</v>
      </c>
      <c r="B26" s="233" t="s">
        <v>88</v>
      </c>
      <c r="C26" s="233" t="s">
        <v>1356</v>
      </c>
      <c r="D26" s="236">
        <v>2.2050000000000001</v>
      </c>
      <c r="E26" s="233" t="s">
        <v>1350</v>
      </c>
      <c r="F26" s="233"/>
      <c r="G26" s="233"/>
      <c r="H26" s="239"/>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2"/>
      <c r="BZ26" s="232"/>
      <c r="CA26" s="232"/>
      <c r="CB26" s="232"/>
      <c r="CC26" s="232"/>
      <c r="CD26" s="232"/>
      <c r="CE26" s="232"/>
      <c r="CF26" s="232"/>
      <c r="CG26" s="232"/>
      <c r="CH26" s="232"/>
      <c r="CI26" s="232"/>
      <c r="CJ26" s="232"/>
      <c r="CK26" s="232"/>
      <c r="CL26" s="232"/>
      <c r="CM26" s="232"/>
      <c r="CN26" s="232"/>
      <c r="CO26" s="232"/>
      <c r="CP26" s="232"/>
      <c r="CQ26" s="232"/>
      <c r="CR26" s="232"/>
      <c r="CS26" s="232"/>
      <c r="CT26" s="232"/>
      <c r="CU26" s="232"/>
      <c r="CV26" s="232"/>
      <c r="CW26" s="232"/>
      <c r="CX26" s="232"/>
      <c r="CY26" s="232"/>
      <c r="CZ26" s="232"/>
      <c r="DA26" s="232"/>
      <c r="DB26" s="232"/>
      <c r="DC26" s="232"/>
      <c r="DD26" s="232"/>
      <c r="DE26" s="232"/>
      <c r="DF26" s="232"/>
      <c r="DG26" s="232"/>
      <c r="DH26" s="232"/>
      <c r="DI26" s="232"/>
      <c r="DJ26" s="232"/>
      <c r="DK26" s="232"/>
      <c r="DL26" s="232"/>
      <c r="DM26" s="232"/>
      <c r="DN26" s="232"/>
      <c r="DO26" s="232"/>
      <c r="DP26" s="232"/>
      <c r="DQ26" s="232"/>
      <c r="DR26" s="232"/>
      <c r="DS26" s="232"/>
      <c r="DT26" s="232"/>
      <c r="DU26" s="232"/>
      <c r="DV26" s="232"/>
      <c r="DW26" s="232"/>
      <c r="DX26" s="232"/>
      <c r="DY26" s="232"/>
      <c r="DZ26" s="232"/>
      <c r="EA26" s="232"/>
      <c r="EB26" s="232"/>
      <c r="EC26" s="232"/>
      <c r="ED26" s="232"/>
      <c r="EE26" s="232"/>
      <c r="EF26" s="232"/>
      <c r="EG26" s="232"/>
      <c r="EH26" s="232"/>
      <c r="EI26" s="232"/>
      <c r="EJ26" s="232"/>
      <c r="EK26" s="232"/>
      <c r="EL26" s="232"/>
      <c r="EM26" s="232"/>
      <c r="EN26" s="232"/>
      <c r="EO26" s="232"/>
      <c r="EP26" s="232"/>
      <c r="EQ26" s="232"/>
      <c r="ER26" s="232"/>
      <c r="ES26" s="232"/>
      <c r="ET26" s="232"/>
      <c r="EU26" s="232"/>
      <c r="EV26" s="232"/>
      <c r="EW26" s="232"/>
      <c r="EX26" s="232"/>
      <c r="EY26" s="232"/>
      <c r="EZ26" s="232"/>
      <c r="FA26" s="232"/>
      <c r="FB26" s="232"/>
      <c r="FC26" s="232"/>
      <c r="FD26" s="232"/>
      <c r="FE26" s="232"/>
      <c r="FF26" s="232"/>
      <c r="FG26" s="232"/>
      <c r="FH26" s="232"/>
      <c r="FI26" s="232"/>
      <c r="FJ26" s="232"/>
      <c r="FK26" s="232"/>
    </row>
    <row r="27" spans="1:167">
      <c r="A27" s="238">
        <v>1</v>
      </c>
      <c r="B27" s="233" t="s">
        <v>1363</v>
      </c>
      <c r="C27" s="233" t="s">
        <v>1356</v>
      </c>
      <c r="D27" s="235">
        <v>1000</v>
      </c>
      <c r="E27" s="233" t="s">
        <v>88</v>
      </c>
      <c r="F27" s="233"/>
      <c r="G27" s="233"/>
      <c r="H27" s="239"/>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c r="BP27" s="232"/>
      <c r="BQ27" s="232"/>
      <c r="BR27" s="232"/>
      <c r="BS27" s="232"/>
      <c r="BT27" s="232"/>
      <c r="BU27" s="232"/>
      <c r="BV27" s="232"/>
      <c r="BW27" s="232"/>
      <c r="BX27" s="232"/>
      <c r="BY27" s="232"/>
      <c r="BZ27" s="232"/>
      <c r="CA27" s="232"/>
      <c r="CB27" s="232"/>
      <c r="CC27" s="232"/>
      <c r="CD27" s="232"/>
      <c r="CE27" s="232"/>
      <c r="CF27" s="232"/>
      <c r="CG27" s="232"/>
      <c r="CH27" s="232"/>
      <c r="CI27" s="232"/>
      <c r="CJ27" s="232"/>
      <c r="CK27" s="232"/>
      <c r="CL27" s="232"/>
      <c r="CM27" s="232"/>
      <c r="CN27" s="232"/>
      <c r="CO27" s="232"/>
      <c r="CP27" s="232"/>
      <c r="CQ27" s="232"/>
      <c r="CR27" s="232"/>
      <c r="CS27" s="232"/>
      <c r="CT27" s="232"/>
      <c r="CU27" s="232"/>
      <c r="CV27" s="232"/>
      <c r="CW27" s="232"/>
      <c r="CX27" s="232"/>
      <c r="CY27" s="232"/>
      <c r="CZ27" s="232"/>
      <c r="DA27" s="232"/>
      <c r="DB27" s="232"/>
      <c r="DC27" s="232"/>
      <c r="DD27" s="232"/>
      <c r="DE27" s="232"/>
      <c r="DF27" s="232"/>
      <c r="DG27" s="232"/>
      <c r="DH27" s="232"/>
      <c r="DI27" s="232"/>
      <c r="DJ27" s="232"/>
      <c r="DK27" s="232"/>
      <c r="DL27" s="232"/>
      <c r="DM27" s="232"/>
      <c r="DN27" s="232"/>
      <c r="DO27" s="232"/>
      <c r="DP27" s="232"/>
      <c r="DQ27" s="232"/>
      <c r="DR27" s="232"/>
      <c r="DS27" s="232"/>
      <c r="DT27" s="232"/>
      <c r="DU27" s="232"/>
      <c r="DV27" s="232"/>
      <c r="DW27" s="232"/>
      <c r="DX27" s="232"/>
      <c r="DY27" s="232"/>
      <c r="DZ27" s="232"/>
      <c r="EA27" s="232"/>
      <c r="EB27" s="232"/>
      <c r="EC27" s="232"/>
      <c r="ED27" s="232"/>
      <c r="EE27" s="232"/>
      <c r="EF27" s="232"/>
      <c r="EG27" s="232"/>
      <c r="EH27" s="232"/>
      <c r="EI27" s="232"/>
      <c r="EJ27" s="232"/>
      <c r="EK27" s="232"/>
      <c r="EL27" s="232"/>
      <c r="EM27" s="232"/>
      <c r="EN27" s="232"/>
      <c r="EO27" s="232"/>
      <c r="EP27" s="232"/>
      <c r="EQ27" s="232"/>
      <c r="ER27" s="232"/>
      <c r="ES27" s="232"/>
      <c r="ET27" s="232"/>
      <c r="EU27" s="232"/>
      <c r="EV27" s="232"/>
      <c r="EW27" s="232"/>
      <c r="EX27" s="232"/>
      <c r="EY27" s="232"/>
      <c r="EZ27" s="232"/>
      <c r="FA27" s="232"/>
      <c r="FB27" s="232"/>
      <c r="FC27" s="232"/>
      <c r="FD27" s="232"/>
      <c r="FE27" s="232"/>
      <c r="FF27" s="232"/>
      <c r="FG27" s="232"/>
      <c r="FH27" s="232"/>
      <c r="FI27" s="232"/>
      <c r="FJ27" s="232"/>
      <c r="FK27" s="232"/>
    </row>
    <row r="28" spans="1:167">
      <c r="A28" s="238">
        <v>1</v>
      </c>
      <c r="B28" s="233" t="s">
        <v>1338</v>
      </c>
      <c r="C28" s="233" t="s">
        <v>1356</v>
      </c>
      <c r="D28" s="235">
        <v>1000</v>
      </c>
      <c r="E28" s="233" t="s">
        <v>1364</v>
      </c>
      <c r="F28" s="233"/>
      <c r="G28" s="233"/>
      <c r="H28" s="239"/>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c r="AW28" s="232"/>
      <c r="AX28" s="232"/>
      <c r="AY28" s="232"/>
      <c r="AZ28" s="232"/>
      <c r="BA28" s="232"/>
      <c r="BB28" s="232"/>
      <c r="BC28" s="232"/>
      <c r="BD28" s="232"/>
      <c r="BE28" s="232"/>
      <c r="BF28" s="232"/>
      <c r="BG28" s="232"/>
      <c r="BH28" s="232"/>
      <c r="BI28" s="232"/>
      <c r="BJ28" s="232"/>
      <c r="BK28" s="232"/>
      <c r="BL28" s="232"/>
      <c r="BM28" s="232"/>
      <c r="BN28" s="232"/>
      <c r="BO28" s="232"/>
      <c r="BP28" s="232"/>
      <c r="BQ28" s="232"/>
      <c r="BR28" s="232"/>
      <c r="BS28" s="232"/>
      <c r="BT28" s="232"/>
      <c r="BU28" s="232"/>
      <c r="BV28" s="232"/>
      <c r="BW28" s="232"/>
      <c r="BX28" s="232"/>
      <c r="BY28" s="232"/>
      <c r="BZ28" s="232"/>
      <c r="CA28" s="232"/>
      <c r="CB28" s="232"/>
      <c r="CC28" s="232"/>
      <c r="CD28" s="232"/>
      <c r="CE28" s="232"/>
      <c r="CF28" s="232"/>
      <c r="CG28" s="232"/>
      <c r="CH28" s="232"/>
      <c r="CI28" s="232"/>
      <c r="CJ28" s="232"/>
      <c r="CK28" s="232"/>
      <c r="CL28" s="232"/>
      <c r="CM28" s="232"/>
      <c r="CN28" s="232"/>
      <c r="CO28" s="232"/>
      <c r="CP28" s="232"/>
      <c r="CQ28" s="232"/>
      <c r="CR28" s="232"/>
      <c r="CS28" s="232"/>
      <c r="CT28" s="232"/>
      <c r="CU28" s="232"/>
      <c r="CV28" s="232"/>
      <c r="CW28" s="232"/>
      <c r="CX28" s="232"/>
      <c r="CY28" s="232"/>
      <c r="CZ28" s="232"/>
      <c r="DA28" s="232"/>
      <c r="DB28" s="232"/>
      <c r="DC28" s="232"/>
      <c r="DD28" s="232"/>
      <c r="DE28" s="232"/>
      <c r="DF28" s="232"/>
      <c r="DG28" s="232"/>
      <c r="DH28" s="232"/>
      <c r="DI28" s="232"/>
      <c r="DJ28" s="232"/>
      <c r="DK28" s="232"/>
      <c r="DL28" s="232"/>
      <c r="DM28" s="232"/>
      <c r="DN28" s="232"/>
      <c r="DO28" s="232"/>
      <c r="DP28" s="232"/>
      <c r="DQ28" s="232"/>
      <c r="DR28" s="232"/>
      <c r="DS28" s="232"/>
      <c r="DT28" s="232"/>
      <c r="DU28" s="232"/>
      <c r="DV28" s="232"/>
      <c r="DW28" s="232"/>
      <c r="DX28" s="232"/>
      <c r="DY28" s="232"/>
      <c r="DZ28" s="232"/>
      <c r="EA28" s="232"/>
      <c r="EB28" s="232"/>
      <c r="EC28" s="232"/>
      <c r="ED28" s="232"/>
      <c r="EE28" s="232"/>
      <c r="EF28" s="232"/>
      <c r="EG28" s="232"/>
      <c r="EH28" s="232"/>
      <c r="EI28" s="232"/>
      <c r="EJ28" s="232"/>
      <c r="EK28" s="232"/>
      <c r="EL28" s="232"/>
      <c r="EM28" s="232"/>
      <c r="EN28" s="232"/>
      <c r="EO28" s="232"/>
      <c r="EP28" s="232"/>
      <c r="EQ28" s="232"/>
      <c r="ER28" s="232"/>
      <c r="ES28" s="232"/>
      <c r="ET28" s="232"/>
      <c r="EU28" s="232"/>
      <c r="EV28" s="232"/>
      <c r="EW28" s="232"/>
      <c r="EX28" s="232"/>
      <c r="EY28" s="232"/>
      <c r="EZ28" s="232"/>
      <c r="FA28" s="232"/>
      <c r="FB28" s="232"/>
      <c r="FC28" s="232"/>
      <c r="FD28" s="232"/>
      <c r="FE28" s="232"/>
      <c r="FF28" s="232"/>
      <c r="FG28" s="232"/>
      <c r="FH28" s="232"/>
      <c r="FI28" s="232"/>
      <c r="FJ28" s="232"/>
      <c r="FK28" s="232"/>
    </row>
    <row r="29" spans="1:167">
      <c r="A29" s="238">
        <v>1</v>
      </c>
      <c r="B29" s="233" t="s">
        <v>1336</v>
      </c>
      <c r="C29" s="233" t="s">
        <v>1356</v>
      </c>
      <c r="D29" s="235">
        <v>1000000000</v>
      </c>
      <c r="E29" s="233" t="s">
        <v>1364</v>
      </c>
      <c r="F29" s="233"/>
      <c r="G29" s="233"/>
      <c r="H29" s="239"/>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s="232"/>
      <c r="BX29" s="232"/>
      <c r="BY29" s="232"/>
      <c r="BZ29" s="232"/>
      <c r="CA29" s="232"/>
      <c r="CB29" s="232"/>
      <c r="CC29" s="232"/>
      <c r="CD29" s="232"/>
      <c r="CE29" s="232"/>
      <c r="CF29" s="232"/>
      <c r="CG29" s="232"/>
      <c r="CH29" s="232"/>
      <c r="CI29" s="232"/>
      <c r="CJ29" s="232"/>
      <c r="CK29" s="232"/>
      <c r="CL29" s="232"/>
      <c r="CM29" s="232"/>
      <c r="CN29" s="232"/>
      <c r="CO29" s="232"/>
      <c r="CP29" s="232"/>
      <c r="CQ29" s="232"/>
      <c r="CR29" s="232"/>
      <c r="CS29" s="232"/>
      <c r="CT29" s="232"/>
      <c r="CU29" s="232"/>
      <c r="CV29" s="232"/>
      <c r="CW29" s="232"/>
      <c r="CX29" s="232"/>
      <c r="CY29" s="232"/>
      <c r="CZ29" s="232"/>
      <c r="DA29" s="232"/>
      <c r="DB29" s="232"/>
      <c r="DC29" s="232"/>
      <c r="DD29" s="232"/>
      <c r="DE29" s="232"/>
      <c r="DF29" s="232"/>
      <c r="DG29" s="232"/>
      <c r="DH29" s="232"/>
      <c r="DI29" s="232"/>
      <c r="DJ29" s="232"/>
      <c r="DK29" s="232"/>
      <c r="DL29" s="232"/>
      <c r="DM29" s="232"/>
      <c r="DN29" s="232"/>
      <c r="DO29" s="232"/>
      <c r="DP29" s="232"/>
      <c r="DQ29" s="232"/>
      <c r="DR29" s="232"/>
      <c r="DS29" s="232"/>
      <c r="DT29" s="232"/>
      <c r="DU29" s="232"/>
      <c r="DV29" s="232"/>
      <c r="DW29" s="232"/>
      <c r="DX29" s="232"/>
      <c r="DY29" s="232"/>
      <c r="DZ29" s="232"/>
      <c r="EA29" s="232"/>
      <c r="EB29" s="232"/>
      <c r="EC29" s="232"/>
      <c r="ED29" s="232"/>
      <c r="EE29" s="232"/>
      <c r="EF29" s="232"/>
      <c r="EG29" s="232"/>
      <c r="EH29" s="232"/>
      <c r="EI29" s="232"/>
      <c r="EJ29" s="232"/>
      <c r="EK29" s="232"/>
      <c r="EL29" s="232"/>
      <c r="EM29" s="232"/>
      <c r="EN29" s="232"/>
      <c r="EO29" s="232"/>
      <c r="EP29" s="232"/>
      <c r="EQ29" s="232"/>
      <c r="ER29" s="232"/>
      <c r="ES29" s="232"/>
      <c r="ET29" s="232"/>
      <c r="EU29" s="232"/>
      <c r="EV29" s="232"/>
      <c r="EW29" s="232"/>
      <c r="EX29" s="232"/>
      <c r="EY29" s="232"/>
      <c r="EZ29" s="232"/>
      <c r="FA29" s="232"/>
      <c r="FB29" s="232"/>
      <c r="FC29" s="232"/>
      <c r="FD29" s="232"/>
      <c r="FE29" s="232"/>
      <c r="FF29" s="232"/>
      <c r="FG29" s="232"/>
      <c r="FH29" s="232"/>
      <c r="FI29" s="232"/>
      <c r="FJ29" s="232"/>
      <c r="FK29" s="232"/>
    </row>
    <row r="30" spans="1:167" ht="15.6">
      <c r="A30" s="238">
        <v>1</v>
      </c>
      <c r="B30" s="233" t="s">
        <v>1334</v>
      </c>
      <c r="C30" s="233" t="s">
        <v>1356</v>
      </c>
      <c r="D30" s="235">
        <v>1000</v>
      </c>
      <c r="E30" s="233" t="s">
        <v>1365</v>
      </c>
      <c r="F30" s="233"/>
      <c r="G30" s="233"/>
      <c r="H30" s="239"/>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2"/>
      <c r="BA30" s="232"/>
      <c r="BB30" s="232"/>
      <c r="BC30" s="232"/>
      <c r="BD30" s="232"/>
      <c r="BE30" s="232"/>
      <c r="BF30" s="232"/>
      <c r="BG30" s="232"/>
      <c r="BH30" s="232"/>
      <c r="BI30" s="232"/>
      <c r="BJ30" s="232"/>
      <c r="BK30" s="232"/>
      <c r="BL30" s="232"/>
      <c r="BM30" s="232"/>
      <c r="BN30" s="232"/>
      <c r="BO30" s="232"/>
      <c r="BP30" s="232"/>
      <c r="BQ30" s="232"/>
      <c r="BR30" s="232"/>
      <c r="BS30" s="232"/>
      <c r="BT30" s="232"/>
      <c r="BU30" s="232"/>
      <c r="BV30" s="232"/>
      <c r="BW30" s="232"/>
      <c r="BX30" s="232"/>
      <c r="BY30" s="232"/>
      <c r="BZ30" s="232"/>
      <c r="CA30" s="232"/>
      <c r="CB30" s="232"/>
      <c r="CC30" s="232"/>
      <c r="CD30" s="232"/>
      <c r="CE30" s="232"/>
      <c r="CF30" s="232"/>
      <c r="CG30" s="232"/>
      <c r="CH30" s="232"/>
      <c r="CI30" s="232"/>
      <c r="CJ30" s="232"/>
      <c r="CK30" s="232"/>
      <c r="CL30" s="232"/>
      <c r="CM30" s="232"/>
      <c r="CN30" s="232"/>
      <c r="CO30" s="232"/>
      <c r="CP30" s="232"/>
      <c r="CQ30" s="232"/>
      <c r="CR30" s="232"/>
      <c r="CS30" s="232"/>
      <c r="CT30" s="232"/>
      <c r="CU30" s="232"/>
      <c r="CV30" s="232"/>
      <c r="CW30" s="232"/>
      <c r="CX30" s="232"/>
      <c r="CY30" s="232"/>
      <c r="CZ30" s="232"/>
      <c r="DA30" s="232"/>
      <c r="DB30" s="232"/>
      <c r="DC30" s="232"/>
      <c r="DD30" s="232"/>
      <c r="DE30" s="232"/>
      <c r="DF30" s="232"/>
      <c r="DG30" s="232"/>
      <c r="DH30" s="232"/>
      <c r="DI30" s="232"/>
      <c r="DJ30" s="232"/>
      <c r="DK30" s="232"/>
      <c r="DL30" s="232"/>
      <c r="DM30" s="232"/>
      <c r="DN30" s="232"/>
      <c r="DO30" s="232"/>
      <c r="DP30" s="232"/>
      <c r="DQ30" s="232"/>
      <c r="DR30" s="232"/>
      <c r="DS30" s="232"/>
      <c r="DT30" s="232"/>
      <c r="DU30" s="232"/>
      <c r="DV30" s="232"/>
      <c r="DW30" s="232"/>
      <c r="DX30" s="232"/>
      <c r="DY30" s="232"/>
      <c r="DZ30" s="232"/>
      <c r="EA30" s="232"/>
      <c r="EB30" s="232"/>
      <c r="EC30" s="232"/>
      <c r="ED30" s="232"/>
      <c r="EE30" s="232"/>
      <c r="EF30" s="232"/>
      <c r="EG30" s="232"/>
      <c r="EH30" s="232"/>
      <c r="EI30" s="232"/>
      <c r="EJ30" s="232"/>
      <c r="EK30" s="232"/>
      <c r="EL30" s="232"/>
      <c r="EM30" s="232"/>
      <c r="EN30" s="232"/>
      <c r="EO30" s="232"/>
      <c r="EP30" s="232"/>
      <c r="EQ30" s="232"/>
      <c r="ER30" s="232"/>
      <c r="ES30" s="232"/>
      <c r="ET30" s="232"/>
      <c r="EU30" s="232"/>
      <c r="EV30" s="232"/>
      <c r="EW30" s="232"/>
      <c r="EX30" s="232"/>
      <c r="EY30" s="232"/>
      <c r="EZ30" s="232"/>
      <c r="FA30" s="232"/>
      <c r="FB30" s="232"/>
      <c r="FC30" s="232"/>
      <c r="FD30" s="232"/>
      <c r="FE30" s="232"/>
      <c r="FF30" s="232"/>
      <c r="FG30" s="232"/>
      <c r="FH30" s="232"/>
      <c r="FI30" s="232"/>
      <c r="FJ30" s="232"/>
      <c r="FK30" s="232"/>
    </row>
    <row r="31" spans="1:167" ht="15.6">
      <c r="A31" s="238">
        <v>1</v>
      </c>
      <c r="B31" s="233" t="s">
        <v>1332</v>
      </c>
      <c r="C31" s="233" t="s">
        <v>1356</v>
      </c>
      <c r="D31" s="235">
        <v>1000000000</v>
      </c>
      <c r="E31" s="233" t="s">
        <v>1365</v>
      </c>
      <c r="F31" s="233"/>
      <c r="G31" s="233"/>
      <c r="H31" s="239"/>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c r="BP31" s="232"/>
      <c r="BQ31" s="232"/>
      <c r="BR31" s="232"/>
      <c r="BS31" s="232"/>
      <c r="BT31" s="232"/>
      <c r="BU31" s="232"/>
      <c r="BV31" s="232"/>
      <c r="BW31" s="232"/>
      <c r="BX31" s="232"/>
      <c r="BY31" s="232"/>
      <c r="BZ31" s="232"/>
      <c r="CA31" s="232"/>
      <c r="CB31" s="232"/>
      <c r="CC31" s="232"/>
      <c r="CD31" s="232"/>
      <c r="CE31" s="232"/>
      <c r="CF31" s="232"/>
      <c r="CG31" s="232"/>
      <c r="CH31" s="232"/>
      <c r="CI31" s="232"/>
      <c r="CJ31" s="232"/>
      <c r="CK31" s="232"/>
      <c r="CL31" s="232"/>
      <c r="CM31" s="232"/>
      <c r="CN31" s="232"/>
      <c r="CO31" s="232"/>
      <c r="CP31" s="232"/>
      <c r="CQ31" s="232"/>
      <c r="CR31" s="232"/>
      <c r="CS31" s="232"/>
      <c r="CT31" s="232"/>
      <c r="CU31" s="232"/>
      <c r="CV31" s="232"/>
      <c r="CW31" s="232"/>
      <c r="CX31" s="232"/>
      <c r="CY31" s="232"/>
      <c r="CZ31" s="232"/>
      <c r="DA31" s="232"/>
      <c r="DB31" s="232"/>
      <c r="DC31" s="232"/>
      <c r="DD31" s="232"/>
      <c r="DE31" s="232"/>
      <c r="DF31" s="232"/>
      <c r="DG31" s="232"/>
      <c r="DH31" s="232"/>
      <c r="DI31" s="232"/>
      <c r="DJ31" s="232"/>
      <c r="DK31" s="232"/>
      <c r="DL31" s="232"/>
      <c r="DM31" s="232"/>
      <c r="DN31" s="232"/>
      <c r="DO31" s="232"/>
      <c r="DP31" s="232"/>
      <c r="DQ31" s="232"/>
      <c r="DR31" s="232"/>
      <c r="DS31" s="232"/>
      <c r="DT31" s="232"/>
      <c r="DU31" s="232"/>
      <c r="DV31" s="232"/>
      <c r="DW31" s="232"/>
      <c r="DX31" s="232"/>
      <c r="DY31" s="232"/>
      <c r="DZ31" s="232"/>
      <c r="EA31" s="232"/>
      <c r="EB31" s="232"/>
      <c r="EC31" s="232"/>
      <c r="ED31" s="232"/>
      <c r="EE31" s="232"/>
      <c r="EF31" s="232"/>
      <c r="EG31" s="232"/>
      <c r="EH31" s="232"/>
      <c r="EI31" s="232"/>
      <c r="EJ31" s="232"/>
      <c r="EK31" s="232"/>
      <c r="EL31" s="232"/>
      <c r="EM31" s="232"/>
      <c r="EN31" s="232"/>
      <c r="EO31" s="232"/>
      <c r="EP31" s="232"/>
      <c r="EQ31" s="232"/>
      <c r="ER31" s="232"/>
      <c r="ES31" s="232"/>
      <c r="ET31" s="232"/>
      <c r="EU31" s="232"/>
      <c r="EV31" s="232"/>
      <c r="EW31" s="232"/>
      <c r="EX31" s="232"/>
      <c r="EY31" s="232"/>
      <c r="EZ31" s="232"/>
      <c r="FA31" s="232"/>
      <c r="FB31" s="232"/>
      <c r="FC31" s="232"/>
      <c r="FD31" s="232"/>
      <c r="FE31" s="232"/>
      <c r="FF31" s="232"/>
      <c r="FG31" s="232"/>
      <c r="FH31" s="232"/>
      <c r="FI31" s="232"/>
      <c r="FJ31" s="232"/>
      <c r="FK31" s="232"/>
    </row>
    <row r="32" spans="1:167" ht="15.6">
      <c r="A32" s="238">
        <v>1</v>
      </c>
      <c r="B32" s="233" t="s">
        <v>1366</v>
      </c>
      <c r="C32" s="233" t="s">
        <v>1356</v>
      </c>
      <c r="D32" s="236">
        <v>3.6666666666666665</v>
      </c>
      <c r="E32" s="233" t="s">
        <v>1334</v>
      </c>
      <c r="F32" s="233"/>
      <c r="G32" s="233"/>
      <c r="H32" s="239"/>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2"/>
      <c r="CP32" s="232"/>
      <c r="CQ32" s="232"/>
      <c r="CR32" s="232"/>
      <c r="CS32" s="232"/>
      <c r="CT32" s="232"/>
      <c r="CU32" s="232"/>
      <c r="CV32" s="232"/>
      <c r="CW32" s="232"/>
      <c r="CX32" s="232"/>
      <c r="CY32" s="232"/>
      <c r="CZ32" s="232"/>
      <c r="DA32" s="232"/>
      <c r="DB32" s="232"/>
      <c r="DC32" s="232"/>
      <c r="DD32" s="232"/>
      <c r="DE32" s="232"/>
      <c r="DF32" s="232"/>
      <c r="DG32" s="232"/>
      <c r="DH32" s="232"/>
      <c r="DI32" s="232"/>
      <c r="DJ32" s="232"/>
      <c r="DK32" s="232"/>
      <c r="DL32" s="232"/>
      <c r="DM32" s="232"/>
      <c r="DN32" s="232"/>
      <c r="DO32" s="232"/>
      <c r="DP32" s="232"/>
      <c r="DQ32" s="232"/>
      <c r="DR32" s="232"/>
      <c r="DS32" s="232"/>
      <c r="DT32" s="232"/>
      <c r="DU32" s="232"/>
      <c r="DV32" s="232"/>
      <c r="DW32" s="232"/>
      <c r="DX32" s="232"/>
      <c r="DY32" s="232"/>
      <c r="DZ32" s="232"/>
      <c r="EA32" s="232"/>
      <c r="EB32" s="232"/>
      <c r="EC32" s="232"/>
      <c r="ED32" s="232"/>
      <c r="EE32" s="232"/>
      <c r="EF32" s="232"/>
      <c r="EG32" s="232"/>
      <c r="EH32" s="232"/>
      <c r="EI32" s="232"/>
      <c r="EJ32" s="232"/>
      <c r="EK32" s="232"/>
      <c r="EL32" s="232"/>
      <c r="EM32" s="232"/>
      <c r="EN32" s="232"/>
      <c r="EO32" s="232"/>
      <c r="EP32" s="232"/>
      <c r="EQ32" s="232"/>
      <c r="ER32" s="232"/>
      <c r="ES32" s="232"/>
      <c r="ET32" s="232"/>
      <c r="EU32" s="232"/>
      <c r="EV32" s="232"/>
      <c r="EW32" s="232"/>
      <c r="EX32" s="232"/>
      <c r="EY32" s="232"/>
      <c r="EZ32" s="232"/>
      <c r="FA32" s="232"/>
      <c r="FB32" s="232"/>
      <c r="FC32" s="232"/>
      <c r="FD32" s="232"/>
      <c r="FE32" s="232"/>
      <c r="FF32" s="232"/>
      <c r="FG32" s="232"/>
      <c r="FH32" s="232"/>
      <c r="FI32" s="232"/>
      <c r="FJ32" s="232"/>
      <c r="FK32" s="232"/>
    </row>
    <row r="33" spans="1:167">
      <c r="A33" s="238">
        <v>1</v>
      </c>
      <c r="B33" s="233" t="s">
        <v>1367</v>
      </c>
      <c r="C33" s="233" t="s">
        <v>1356</v>
      </c>
      <c r="D33" s="244">
        <v>0.90720000000000001</v>
      </c>
      <c r="E33" s="233" t="s">
        <v>1368</v>
      </c>
      <c r="F33" s="233"/>
      <c r="G33" s="233"/>
      <c r="H33" s="239"/>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2"/>
      <c r="CP33" s="232"/>
      <c r="CQ33" s="232"/>
      <c r="CR33" s="232"/>
      <c r="CS33" s="232"/>
      <c r="CT33" s="232"/>
      <c r="CU33" s="232"/>
      <c r="CV33" s="232"/>
      <c r="CW33" s="232"/>
      <c r="CX33" s="232"/>
      <c r="CY33" s="232"/>
      <c r="CZ33" s="232"/>
      <c r="DA33" s="232"/>
      <c r="DB33" s="232"/>
      <c r="DC33" s="232"/>
      <c r="DD33" s="232"/>
      <c r="DE33" s="232"/>
      <c r="DF33" s="232"/>
      <c r="DG33" s="232"/>
      <c r="DH33" s="232"/>
      <c r="DI33" s="232"/>
      <c r="DJ33" s="232"/>
      <c r="DK33" s="232"/>
      <c r="DL33" s="232"/>
      <c r="DM33" s="232"/>
      <c r="DN33" s="232"/>
      <c r="DO33" s="232"/>
      <c r="DP33" s="232"/>
      <c r="DQ33" s="232"/>
      <c r="DR33" s="232"/>
      <c r="DS33" s="232"/>
      <c r="DT33" s="232"/>
      <c r="DU33" s="232"/>
      <c r="DV33" s="232"/>
      <c r="DW33" s="232"/>
      <c r="DX33" s="232"/>
      <c r="DY33" s="232"/>
      <c r="DZ33" s="232"/>
      <c r="EA33" s="232"/>
      <c r="EB33" s="232"/>
      <c r="EC33" s="232"/>
      <c r="ED33" s="232"/>
      <c r="EE33" s="232"/>
      <c r="EF33" s="232"/>
      <c r="EG33" s="232"/>
      <c r="EH33" s="232"/>
      <c r="EI33" s="232"/>
      <c r="EJ33" s="232"/>
      <c r="EK33" s="232"/>
      <c r="EL33" s="232"/>
      <c r="EM33" s="232"/>
      <c r="EN33" s="232"/>
      <c r="EO33" s="232"/>
      <c r="EP33" s="232"/>
      <c r="EQ33" s="232"/>
      <c r="ER33" s="232"/>
      <c r="ES33" s="232"/>
      <c r="ET33" s="232"/>
      <c r="EU33" s="232"/>
      <c r="EV33" s="232"/>
      <c r="EW33" s="232"/>
      <c r="EX33" s="232"/>
      <c r="EY33" s="232"/>
      <c r="EZ33" s="232"/>
      <c r="FA33" s="232"/>
      <c r="FB33" s="232"/>
      <c r="FC33" s="232"/>
      <c r="FD33" s="232"/>
      <c r="FE33" s="232"/>
      <c r="FF33" s="232"/>
      <c r="FG33" s="232"/>
      <c r="FH33" s="232"/>
      <c r="FI33" s="232"/>
      <c r="FJ33" s="232"/>
      <c r="FK33" s="232"/>
    </row>
    <row r="34" spans="1:167">
      <c r="A34" s="238">
        <v>1</v>
      </c>
      <c r="B34" s="233" t="s">
        <v>1369</v>
      </c>
      <c r="C34" s="233" t="s">
        <v>1356</v>
      </c>
      <c r="D34" s="236">
        <v>0.26419999999999999</v>
      </c>
      <c r="E34" s="233" t="s">
        <v>1370</v>
      </c>
      <c r="F34" s="233"/>
      <c r="G34" s="233"/>
      <c r="H34" s="239"/>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32"/>
      <c r="BX34" s="232"/>
      <c r="BY34" s="232"/>
      <c r="BZ34" s="232"/>
      <c r="CA34" s="232"/>
      <c r="CB34" s="232"/>
      <c r="CC34" s="232"/>
      <c r="CD34" s="232"/>
      <c r="CE34" s="232"/>
      <c r="CF34" s="232"/>
      <c r="CG34" s="232"/>
      <c r="CH34" s="232"/>
      <c r="CI34" s="232"/>
      <c r="CJ34" s="232"/>
      <c r="CK34" s="232"/>
      <c r="CL34" s="232"/>
      <c r="CM34" s="232"/>
      <c r="CN34" s="232"/>
      <c r="CO34" s="232"/>
      <c r="CP34" s="232"/>
      <c r="CQ34" s="232"/>
      <c r="CR34" s="232"/>
      <c r="CS34" s="232"/>
      <c r="CT34" s="232"/>
      <c r="CU34" s="232"/>
      <c r="CV34" s="232"/>
      <c r="CW34" s="232"/>
      <c r="CX34" s="232"/>
      <c r="CY34" s="232"/>
      <c r="CZ34" s="232"/>
      <c r="DA34" s="232"/>
      <c r="DB34" s="232"/>
      <c r="DC34" s="232"/>
      <c r="DD34" s="232"/>
      <c r="DE34" s="232"/>
      <c r="DF34" s="232"/>
      <c r="DG34" s="232"/>
      <c r="DH34" s="232"/>
      <c r="DI34" s="232"/>
      <c r="DJ34" s="232"/>
      <c r="DK34" s="232"/>
      <c r="DL34" s="232"/>
      <c r="DM34" s="232"/>
      <c r="DN34" s="232"/>
      <c r="DO34" s="232"/>
      <c r="DP34" s="232"/>
      <c r="DQ34" s="232"/>
      <c r="DR34" s="232"/>
      <c r="DS34" s="232"/>
      <c r="DT34" s="232"/>
      <c r="DU34" s="232"/>
      <c r="DV34" s="232"/>
      <c r="DW34" s="232"/>
      <c r="DX34" s="232"/>
      <c r="DY34" s="232"/>
      <c r="DZ34" s="232"/>
      <c r="EA34" s="232"/>
      <c r="EB34" s="232"/>
      <c r="EC34" s="232"/>
      <c r="ED34" s="232"/>
      <c r="EE34" s="232"/>
      <c r="EF34" s="232"/>
      <c r="EG34" s="232"/>
      <c r="EH34" s="232"/>
      <c r="EI34" s="232"/>
      <c r="EJ34" s="232"/>
      <c r="EK34" s="232"/>
      <c r="EL34" s="232"/>
      <c r="EM34" s="232"/>
      <c r="EN34" s="232"/>
      <c r="EO34" s="232"/>
      <c r="EP34" s="232"/>
      <c r="EQ34" s="232"/>
      <c r="ER34" s="232"/>
      <c r="ES34" s="232"/>
      <c r="ET34" s="232"/>
      <c r="EU34" s="232"/>
      <c r="EV34" s="232"/>
      <c r="EW34" s="232"/>
      <c r="EX34" s="232"/>
      <c r="EY34" s="232"/>
      <c r="EZ34" s="232"/>
      <c r="FA34" s="232"/>
      <c r="FB34" s="232"/>
      <c r="FC34" s="232"/>
      <c r="FD34" s="232"/>
      <c r="FE34" s="232"/>
      <c r="FF34" s="232"/>
      <c r="FG34" s="232"/>
      <c r="FH34" s="232"/>
      <c r="FI34" s="232"/>
      <c r="FJ34" s="232"/>
      <c r="FK34" s="232"/>
    </row>
    <row r="35" spans="1:167">
      <c r="A35" s="238">
        <v>1</v>
      </c>
      <c r="B35" s="233" t="s">
        <v>1371</v>
      </c>
      <c r="C35" s="233" t="s">
        <v>1356</v>
      </c>
      <c r="D35" s="236">
        <v>3.7854000000000001</v>
      </c>
      <c r="E35" s="233" t="s">
        <v>1372</v>
      </c>
      <c r="F35" s="233"/>
      <c r="G35" s="233"/>
      <c r="H35" s="239"/>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c r="BX35" s="232"/>
      <c r="BY35" s="232"/>
      <c r="BZ35" s="232"/>
      <c r="CA35" s="232"/>
      <c r="CB35" s="232"/>
      <c r="CC35" s="232"/>
      <c r="CD35" s="232"/>
      <c r="CE35" s="232"/>
      <c r="CF35" s="232"/>
      <c r="CG35" s="232"/>
      <c r="CH35" s="232"/>
      <c r="CI35" s="232"/>
      <c r="CJ35" s="232"/>
      <c r="CK35" s="232"/>
      <c r="CL35" s="232"/>
      <c r="CM35" s="232"/>
      <c r="CN35" s="232"/>
      <c r="CO35" s="232"/>
      <c r="CP35" s="232"/>
      <c r="CQ35" s="232"/>
      <c r="CR35" s="232"/>
      <c r="CS35" s="232"/>
      <c r="CT35" s="232"/>
      <c r="CU35" s="232"/>
      <c r="CV35" s="232"/>
      <c r="CW35" s="232"/>
      <c r="CX35" s="232"/>
      <c r="CY35" s="232"/>
      <c r="CZ35" s="232"/>
      <c r="DA35" s="232"/>
      <c r="DB35" s="232"/>
      <c r="DC35" s="232"/>
      <c r="DD35" s="232"/>
      <c r="DE35" s="232"/>
      <c r="DF35" s="232"/>
      <c r="DG35" s="232"/>
      <c r="DH35" s="232"/>
      <c r="DI35" s="232"/>
      <c r="DJ35" s="232"/>
      <c r="DK35" s="232"/>
      <c r="DL35" s="232"/>
      <c r="DM35" s="232"/>
      <c r="DN35" s="232"/>
      <c r="DO35" s="232"/>
      <c r="DP35" s="232"/>
      <c r="DQ35" s="232"/>
      <c r="DR35" s="232"/>
      <c r="DS35" s="232"/>
      <c r="DT35" s="232"/>
      <c r="DU35" s="232"/>
      <c r="DV35" s="232"/>
      <c r="DW35" s="232"/>
      <c r="DX35" s="232"/>
      <c r="DY35" s="232"/>
      <c r="DZ35" s="232"/>
      <c r="EA35" s="232"/>
      <c r="EB35" s="232"/>
      <c r="EC35" s="232"/>
      <c r="ED35" s="232"/>
      <c r="EE35" s="232"/>
      <c r="EF35" s="232"/>
      <c r="EG35" s="232"/>
      <c r="EH35" s="232"/>
      <c r="EI35" s="232"/>
      <c r="EJ35" s="232"/>
      <c r="EK35" s="232"/>
      <c r="EL35" s="232"/>
      <c r="EM35" s="232"/>
      <c r="EN35" s="232"/>
      <c r="EO35" s="232"/>
      <c r="EP35" s="232"/>
      <c r="EQ35" s="232"/>
      <c r="ER35" s="232"/>
      <c r="ES35" s="232"/>
      <c r="ET35" s="232"/>
      <c r="EU35" s="232"/>
      <c r="EV35" s="232"/>
      <c r="EW35" s="232"/>
      <c r="EX35" s="232"/>
      <c r="EY35" s="232"/>
      <c r="EZ35" s="232"/>
      <c r="FA35" s="232"/>
      <c r="FB35" s="232"/>
      <c r="FC35" s="232"/>
      <c r="FD35" s="232"/>
      <c r="FE35" s="232"/>
      <c r="FF35" s="232"/>
      <c r="FG35" s="232"/>
      <c r="FH35" s="232"/>
      <c r="FI35" s="232"/>
      <c r="FJ35" s="232"/>
      <c r="FK35" s="232"/>
    </row>
    <row r="36" spans="1:167">
      <c r="A36" s="238">
        <v>1</v>
      </c>
      <c r="B36" s="233" t="s">
        <v>1373</v>
      </c>
      <c r="C36" s="233" t="s">
        <v>1356</v>
      </c>
      <c r="D36" s="235">
        <v>42</v>
      </c>
      <c r="E36" s="233" t="s">
        <v>1370</v>
      </c>
      <c r="F36" s="233"/>
      <c r="G36" s="233"/>
      <c r="H36" s="239"/>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32"/>
      <c r="CA36" s="232"/>
      <c r="CB36" s="232"/>
      <c r="CC36" s="232"/>
      <c r="CD36" s="232"/>
      <c r="CE36" s="232"/>
      <c r="CF36" s="232"/>
      <c r="CG36" s="232"/>
      <c r="CH36" s="232"/>
      <c r="CI36" s="232"/>
      <c r="CJ36" s="232"/>
      <c r="CK36" s="232"/>
      <c r="CL36" s="232"/>
      <c r="CM36" s="232"/>
      <c r="CN36" s="232"/>
      <c r="CO36" s="232"/>
      <c r="CP36" s="232"/>
      <c r="CQ36" s="232"/>
      <c r="CR36" s="232"/>
      <c r="CS36" s="232"/>
      <c r="CT36" s="232"/>
      <c r="CU36" s="232"/>
      <c r="CV36" s="232"/>
      <c r="CW36" s="232"/>
      <c r="CX36" s="232"/>
      <c r="CY36" s="232"/>
      <c r="CZ36" s="232"/>
      <c r="DA36" s="232"/>
      <c r="DB36" s="232"/>
      <c r="DC36" s="232"/>
      <c r="DD36" s="232"/>
      <c r="DE36" s="232"/>
      <c r="DF36" s="232"/>
      <c r="DG36" s="232"/>
      <c r="DH36" s="232"/>
      <c r="DI36" s="232"/>
      <c r="DJ36" s="232"/>
      <c r="DK36" s="232"/>
      <c r="DL36" s="232"/>
      <c r="DM36" s="232"/>
      <c r="DN36" s="232"/>
      <c r="DO36" s="232"/>
      <c r="DP36" s="232"/>
      <c r="DQ36" s="232"/>
      <c r="DR36" s="232"/>
      <c r="DS36" s="232"/>
      <c r="DT36" s="232"/>
      <c r="DU36" s="232"/>
      <c r="DV36" s="232"/>
      <c r="DW36" s="232"/>
      <c r="DX36" s="232"/>
      <c r="DY36" s="232"/>
      <c r="DZ36" s="232"/>
      <c r="EA36" s="232"/>
      <c r="EB36" s="232"/>
      <c r="EC36" s="232"/>
      <c r="ED36" s="232"/>
      <c r="EE36" s="232"/>
      <c r="EF36" s="232"/>
      <c r="EG36" s="232"/>
      <c r="EH36" s="232"/>
      <c r="EI36" s="232"/>
      <c r="EJ36" s="232"/>
      <c r="EK36" s="232"/>
      <c r="EL36" s="232"/>
      <c r="EM36" s="232"/>
      <c r="EN36" s="232"/>
      <c r="EO36" s="232"/>
      <c r="EP36" s="232"/>
      <c r="EQ36" s="232"/>
      <c r="ER36" s="232"/>
      <c r="ES36" s="232"/>
      <c r="ET36" s="232"/>
      <c r="EU36" s="232"/>
      <c r="EV36" s="232"/>
      <c r="EW36" s="232"/>
      <c r="EX36" s="232"/>
      <c r="EY36" s="232"/>
      <c r="EZ36" s="232"/>
      <c r="FA36" s="232"/>
      <c r="FB36" s="232"/>
      <c r="FC36" s="232"/>
      <c r="FD36" s="232"/>
      <c r="FE36" s="232"/>
      <c r="FF36" s="232"/>
      <c r="FG36" s="232"/>
      <c r="FH36" s="232"/>
      <c r="FI36" s="232"/>
      <c r="FJ36" s="232"/>
      <c r="FK36" s="232"/>
    </row>
    <row r="37" spans="1:167">
      <c r="A37" s="238"/>
      <c r="B37" s="233"/>
      <c r="C37" s="233"/>
      <c r="D37" s="235"/>
      <c r="E37" s="233"/>
      <c r="F37" s="233"/>
      <c r="G37" s="233"/>
      <c r="H37" s="239"/>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2"/>
      <c r="CV37" s="232"/>
      <c r="CW37" s="232"/>
      <c r="CX37" s="232"/>
      <c r="CY37" s="232"/>
      <c r="CZ37" s="232"/>
      <c r="DA37" s="232"/>
      <c r="DB37" s="232"/>
      <c r="DC37" s="232"/>
      <c r="DD37" s="232"/>
      <c r="DE37" s="232"/>
      <c r="DF37" s="232"/>
      <c r="DG37" s="232"/>
      <c r="DH37" s="232"/>
      <c r="DI37" s="232"/>
      <c r="DJ37" s="232"/>
      <c r="DK37" s="232"/>
      <c r="DL37" s="232"/>
      <c r="DM37" s="232"/>
      <c r="DN37" s="232"/>
      <c r="DO37" s="232"/>
      <c r="DP37" s="232"/>
      <c r="DQ37" s="232"/>
      <c r="DR37" s="232"/>
      <c r="DS37" s="232"/>
      <c r="DT37" s="232"/>
      <c r="DU37" s="232"/>
      <c r="DV37" s="232"/>
      <c r="DW37" s="232"/>
      <c r="DX37" s="232"/>
      <c r="DY37" s="232"/>
      <c r="DZ37" s="232"/>
      <c r="EA37" s="232"/>
      <c r="EB37" s="232"/>
      <c r="EC37" s="232"/>
      <c r="ED37" s="232"/>
      <c r="EE37" s="232"/>
      <c r="EF37" s="232"/>
      <c r="EG37" s="232"/>
      <c r="EH37" s="232"/>
      <c r="EI37" s="232"/>
      <c r="EJ37" s="232"/>
      <c r="EK37" s="232"/>
      <c r="EL37" s="232"/>
      <c r="EM37" s="232"/>
      <c r="EN37" s="232"/>
      <c r="EO37" s="232"/>
      <c r="EP37" s="232"/>
      <c r="EQ37" s="232"/>
      <c r="ER37" s="232"/>
      <c r="ES37" s="232"/>
      <c r="ET37" s="232"/>
      <c r="EU37" s="232"/>
      <c r="EV37" s="232"/>
      <c r="EW37" s="232"/>
      <c r="EX37" s="232"/>
      <c r="EY37" s="232"/>
      <c r="EZ37" s="232"/>
      <c r="FA37" s="232"/>
      <c r="FB37" s="232"/>
      <c r="FC37" s="232"/>
      <c r="FD37" s="232"/>
      <c r="FE37" s="232"/>
      <c r="FF37" s="232"/>
      <c r="FG37" s="232"/>
      <c r="FH37" s="232"/>
      <c r="FI37" s="232"/>
      <c r="FJ37" s="232"/>
      <c r="FK37" s="232"/>
    </row>
    <row r="38" spans="1:167">
      <c r="A38" s="238">
        <v>1</v>
      </c>
      <c r="B38" s="233" t="s">
        <v>1342</v>
      </c>
      <c r="C38" s="233" t="s">
        <v>1356</v>
      </c>
      <c r="D38" s="235">
        <v>3412</v>
      </c>
      <c r="E38" s="233" t="s">
        <v>1344</v>
      </c>
      <c r="F38" s="233" t="s">
        <v>1356</v>
      </c>
      <c r="G38" s="233">
        <v>1</v>
      </c>
      <c r="H38" s="239" t="s">
        <v>1342</v>
      </c>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row>
    <row r="39" spans="1:167">
      <c r="A39" s="238">
        <v>1</v>
      </c>
      <c r="B39" s="233" t="s">
        <v>1344</v>
      </c>
      <c r="C39" s="233" t="s">
        <v>1356</v>
      </c>
      <c r="D39" s="233">
        <v>1</v>
      </c>
      <c r="E39" s="233" t="s">
        <v>1344</v>
      </c>
      <c r="F39" s="233" t="s">
        <v>1356</v>
      </c>
      <c r="G39" s="237">
        <v>2.9308323563892143E-4</v>
      </c>
      <c r="H39" s="239" t="s">
        <v>1342</v>
      </c>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2"/>
      <c r="BR39" s="232"/>
      <c r="BS39" s="232"/>
      <c r="BT39" s="232"/>
      <c r="BU39" s="232"/>
      <c r="BV39" s="232"/>
      <c r="BW39" s="232"/>
      <c r="BX39" s="232"/>
      <c r="BY39" s="232"/>
      <c r="BZ39" s="232"/>
      <c r="CA39" s="232"/>
      <c r="CB39" s="232"/>
      <c r="CC39" s="232"/>
      <c r="CD39" s="232"/>
      <c r="CE39" s="232"/>
      <c r="CF39" s="232"/>
      <c r="CG39" s="232"/>
      <c r="CH39" s="232"/>
      <c r="CI39" s="232"/>
      <c r="CJ39" s="232"/>
      <c r="CK39" s="232"/>
      <c r="CL39" s="232"/>
      <c r="CM39" s="232"/>
      <c r="CN39" s="232"/>
      <c r="CO39" s="232"/>
      <c r="CP39" s="232"/>
      <c r="CQ39" s="232"/>
      <c r="CR39" s="232"/>
      <c r="CS39" s="232"/>
      <c r="CT39" s="232"/>
      <c r="CU39" s="232"/>
      <c r="CV39" s="232"/>
      <c r="CW39" s="232"/>
      <c r="CX39" s="232"/>
      <c r="CY39" s="232"/>
      <c r="CZ39" s="232"/>
      <c r="DA39" s="232"/>
      <c r="DB39" s="232"/>
      <c r="DC39" s="232"/>
      <c r="DD39" s="232"/>
      <c r="DE39" s="232"/>
      <c r="DF39" s="232"/>
      <c r="DG39" s="232"/>
      <c r="DH39" s="232"/>
      <c r="DI39" s="232"/>
      <c r="DJ39" s="232"/>
      <c r="DK39" s="232"/>
      <c r="DL39" s="232"/>
      <c r="DM39" s="232"/>
      <c r="DN39" s="232"/>
      <c r="DO39" s="232"/>
      <c r="DP39" s="232"/>
      <c r="DQ39" s="232"/>
      <c r="DR39" s="232"/>
      <c r="DS39" s="232"/>
      <c r="DT39" s="232"/>
      <c r="DU39" s="232"/>
      <c r="DV39" s="232"/>
      <c r="DW39" s="232"/>
      <c r="DX39" s="232"/>
      <c r="DY39" s="232"/>
      <c r="DZ39" s="232"/>
      <c r="EA39" s="232"/>
      <c r="EB39" s="232"/>
      <c r="EC39" s="232"/>
      <c r="ED39" s="232"/>
      <c r="EE39" s="232"/>
      <c r="EF39" s="232"/>
      <c r="EG39" s="232"/>
      <c r="EH39" s="232"/>
      <c r="EI39" s="232"/>
      <c r="EJ39" s="232"/>
      <c r="EK39" s="232"/>
      <c r="EL39" s="232"/>
      <c r="EM39" s="232"/>
      <c r="EN39" s="232"/>
      <c r="EO39" s="232"/>
      <c r="EP39" s="232"/>
      <c r="EQ39" s="232"/>
      <c r="ER39" s="232"/>
      <c r="ES39" s="232"/>
      <c r="ET39" s="232"/>
      <c r="EU39" s="232"/>
      <c r="EV39" s="232"/>
      <c r="EW39" s="232"/>
      <c r="EX39" s="232"/>
      <c r="EY39" s="232"/>
      <c r="EZ39" s="232"/>
      <c r="FA39" s="232"/>
      <c r="FB39" s="232"/>
      <c r="FC39" s="232"/>
      <c r="FD39" s="232"/>
      <c r="FE39" s="232"/>
      <c r="FF39" s="232"/>
      <c r="FG39" s="232"/>
      <c r="FH39" s="232"/>
      <c r="FI39" s="232"/>
      <c r="FJ39" s="232"/>
      <c r="FK39" s="232"/>
    </row>
    <row r="40" spans="1:167">
      <c r="A40" s="238">
        <v>1</v>
      </c>
      <c r="B40" s="233" t="s">
        <v>1374</v>
      </c>
      <c r="C40" s="233" t="s">
        <v>1356</v>
      </c>
      <c r="D40" s="235">
        <v>100000</v>
      </c>
      <c r="E40" s="233" t="s">
        <v>1344</v>
      </c>
      <c r="F40" s="233" t="s">
        <v>1356</v>
      </c>
      <c r="G40" s="240">
        <v>29.308323563892145</v>
      </c>
      <c r="H40" s="239" t="s">
        <v>1342</v>
      </c>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2"/>
      <c r="BR40" s="232"/>
      <c r="BS40" s="232"/>
      <c r="BT40" s="232"/>
      <c r="BU40" s="232"/>
      <c r="BV40" s="232"/>
      <c r="BW40" s="232"/>
      <c r="BX40" s="232"/>
      <c r="BY40" s="232"/>
      <c r="BZ40" s="232"/>
      <c r="CA40" s="232"/>
      <c r="CB40" s="232"/>
      <c r="CC40" s="232"/>
      <c r="CD40" s="232"/>
      <c r="CE40" s="232"/>
      <c r="CF40" s="232"/>
      <c r="CG40" s="232"/>
      <c r="CH40" s="232"/>
      <c r="CI40" s="232"/>
      <c r="CJ40" s="232"/>
      <c r="CK40" s="232"/>
      <c r="CL40" s="232"/>
      <c r="CM40" s="232"/>
      <c r="CN40" s="232"/>
      <c r="CO40" s="232"/>
      <c r="CP40" s="232"/>
      <c r="CQ40" s="232"/>
      <c r="CR40" s="232"/>
      <c r="CS40" s="232"/>
      <c r="CT40" s="232"/>
      <c r="CU40" s="232"/>
      <c r="CV40" s="232"/>
      <c r="CW40" s="232"/>
      <c r="CX40" s="232"/>
      <c r="CY40" s="232"/>
      <c r="CZ40" s="232"/>
      <c r="DA40" s="232"/>
      <c r="DB40" s="232"/>
      <c r="DC40" s="232"/>
      <c r="DD40" s="232"/>
      <c r="DE40" s="232"/>
      <c r="DF40" s="232"/>
      <c r="DG40" s="232"/>
      <c r="DH40" s="232"/>
      <c r="DI40" s="232"/>
      <c r="DJ40" s="232"/>
      <c r="DK40" s="232"/>
      <c r="DL40" s="232"/>
      <c r="DM40" s="232"/>
      <c r="DN40" s="232"/>
      <c r="DO40" s="232"/>
      <c r="DP40" s="232"/>
      <c r="DQ40" s="232"/>
      <c r="DR40" s="232"/>
      <c r="DS40" s="232"/>
      <c r="DT40" s="232"/>
      <c r="DU40" s="232"/>
      <c r="DV40" s="232"/>
      <c r="DW40" s="232"/>
      <c r="DX40" s="232"/>
      <c r="DY40" s="232"/>
      <c r="DZ40" s="232"/>
      <c r="EA40" s="232"/>
      <c r="EB40" s="232"/>
      <c r="EC40" s="232"/>
      <c r="ED40" s="232"/>
      <c r="EE40" s="232"/>
      <c r="EF40" s="232"/>
      <c r="EG40" s="232"/>
      <c r="EH40" s="232"/>
      <c r="EI40" s="232"/>
      <c r="EJ40" s="232"/>
      <c r="EK40" s="232"/>
      <c r="EL40" s="232"/>
      <c r="EM40" s="232"/>
      <c r="EN40" s="232"/>
      <c r="EO40" s="232"/>
      <c r="EP40" s="232"/>
      <c r="EQ40" s="232"/>
      <c r="ER40" s="232"/>
      <c r="ES40" s="232"/>
      <c r="ET40" s="232"/>
      <c r="EU40" s="232"/>
      <c r="EV40" s="232"/>
      <c r="EW40" s="232"/>
      <c r="EX40" s="232"/>
      <c r="EY40" s="232"/>
      <c r="EZ40" s="232"/>
      <c r="FA40" s="232"/>
      <c r="FB40" s="232"/>
      <c r="FC40" s="232"/>
      <c r="FD40" s="232"/>
      <c r="FE40" s="232"/>
      <c r="FF40" s="232"/>
      <c r="FG40" s="232"/>
      <c r="FH40" s="232"/>
      <c r="FI40" s="232"/>
      <c r="FJ40" s="232"/>
      <c r="FK40" s="232"/>
    </row>
    <row r="41" spans="1:167">
      <c r="A41" s="238">
        <v>1</v>
      </c>
      <c r="B41" s="233" t="s">
        <v>1375</v>
      </c>
      <c r="C41" s="233" t="s">
        <v>1356</v>
      </c>
      <c r="D41" s="233">
        <v>1027</v>
      </c>
      <c r="E41" s="233" t="s">
        <v>1344</v>
      </c>
      <c r="F41" s="233"/>
      <c r="G41" s="237"/>
      <c r="H41" s="239"/>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2"/>
      <c r="BR41" s="232"/>
      <c r="BS41" s="232"/>
      <c r="BT41" s="232"/>
      <c r="BU41" s="232"/>
      <c r="BV41" s="232"/>
      <c r="BW41" s="232"/>
      <c r="BX41" s="232"/>
      <c r="BY41" s="232"/>
      <c r="BZ41" s="232"/>
      <c r="CA41" s="232"/>
      <c r="CB41" s="232"/>
      <c r="CC41" s="232"/>
      <c r="CD41" s="232"/>
      <c r="CE41" s="232"/>
      <c r="CF41" s="232"/>
      <c r="CG41" s="232"/>
      <c r="CH41" s="232"/>
      <c r="CI41" s="232"/>
      <c r="CJ41" s="232"/>
      <c r="CK41" s="232"/>
      <c r="CL41" s="232"/>
      <c r="CM41" s="232"/>
      <c r="CN41" s="232"/>
      <c r="CO41" s="232"/>
      <c r="CP41" s="232"/>
      <c r="CQ41" s="232"/>
      <c r="CR41" s="232"/>
      <c r="CS41" s="232"/>
      <c r="CT41" s="232"/>
      <c r="CU41" s="232"/>
      <c r="CV41" s="232"/>
      <c r="CW41" s="232"/>
      <c r="CX41" s="232"/>
      <c r="CY41" s="232"/>
      <c r="CZ41" s="232"/>
      <c r="DA41" s="232"/>
      <c r="DB41" s="232"/>
      <c r="DC41" s="232"/>
      <c r="DD41" s="232"/>
      <c r="DE41" s="232"/>
      <c r="DF41" s="232"/>
      <c r="DG41" s="232"/>
      <c r="DH41" s="232"/>
      <c r="DI41" s="232"/>
      <c r="DJ41" s="232"/>
      <c r="DK41" s="232"/>
      <c r="DL41" s="232"/>
      <c r="DM41" s="232"/>
      <c r="DN41" s="232"/>
      <c r="DO41" s="232"/>
      <c r="DP41" s="232"/>
      <c r="DQ41" s="232"/>
      <c r="DR41" s="232"/>
      <c r="DS41" s="232"/>
      <c r="DT41" s="232"/>
      <c r="DU41" s="232"/>
      <c r="DV41" s="232"/>
      <c r="DW41" s="232"/>
      <c r="DX41" s="232"/>
      <c r="DY41" s="232"/>
      <c r="DZ41" s="232"/>
      <c r="EA41" s="232"/>
      <c r="EB41" s="232"/>
      <c r="EC41" s="232"/>
      <c r="ED41" s="232"/>
      <c r="EE41" s="232"/>
      <c r="EF41" s="232"/>
      <c r="EG41" s="232"/>
      <c r="EH41" s="232"/>
      <c r="EI41" s="232"/>
      <c r="EJ41" s="232"/>
      <c r="EK41" s="232"/>
      <c r="EL41" s="232"/>
      <c r="EM41" s="232"/>
      <c r="EN41" s="232"/>
      <c r="EO41" s="232"/>
      <c r="EP41" s="232"/>
      <c r="EQ41" s="232"/>
      <c r="ER41" s="232"/>
      <c r="ES41" s="232"/>
      <c r="ET41" s="232"/>
      <c r="EU41" s="232"/>
      <c r="EV41" s="232"/>
      <c r="EW41" s="232"/>
      <c r="EX41" s="232"/>
      <c r="EY41" s="232"/>
      <c r="EZ41" s="232"/>
      <c r="FA41" s="232"/>
      <c r="FB41" s="232"/>
      <c r="FC41" s="232"/>
      <c r="FD41" s="232"/>
      <c r="FE41" s="232"/>
      <c r="FF41" s="232"/>
      <c r="FG41" s="232"/>
      <c r="FH41" s="232"/>
      <c r="FI41" s="232"/>
      <c r="FJ41" s="232"/>
      <c r="FK41" s="232"/>
    </row>
    <row r="42" spans="1:167">
      <c r="A42" s="1005" t="s">
        <v>1376</v>
      </c>
      <c r="B42" s="1006"/>
      <c r="C42" s="1006"/>
      <c r="D42" s="1006"/>
      <c r="E42" s="1006"/>
      <c r="F42" s="1006"/>
      <c r="G42" s="1006"/>
      <c r="H42" s="1007"/>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2"/>
      <c r="BR42" s="232"/>
      <c r="BS42" s="232"/>
      <c r="BT42" s="232"/>
      <c r="BU42" s="232"/>
      <c r="BV42" s="232"/>
      <c r="BW42" s="232"/>
      <c r="BX42" s="232"/>
      <c r="BY42" s="232"/>
      <c r="BZ42" s="232"/>
      <c r="CA42" s="232"/>
      <c r="CB42" s="232"/>
      <c r="CC42" s="232"/>
      <c r="CD42" s="232"/>
      <c r="CE42" s="232"/>
      <c r="CF42" s="232"/>
      <c r="CG42" s="232"/>
      <c r="CH42" s="232"/>
      <c r="CI42" s="232"/>
      <c r="CJ42" s="232"/>
      <c r="CK42" s="232"/>
      <c r="CL42" s="232"/>
      <c r="CM42" s="232"/>
      <c r="CN42" s="232"/>
      <c r="CO42" s="232"/>
      <c r="CP42" s="232"/>
      <c r="CQ42" s="232"/>
      <c r="CR42" s="232"/>
      <c r="CS42" s="232"/>
      <c r="CT42" s="232"/>
      <c r="CU42" s="232"/>
      <c r="CV42" s="232"/>
      <c r="CW42" s="232"/>
      <c r="CX42" s="232"/>
      <c r="CY42" s="232"/>
      <c r="CZ42" s="232"/>
      <c r="DA42" s="232"/>
      <c r="DB42" s="232"/>
      <c r="DC42" s="232"/>
      <c r="DD42" s="232"/>
      <c r="DE42" s="232"/>
      <c r="DF42" s="232"/>
      <c r="DG42" s="232"/>
      <c r="DH42" s="232"/>
      <c r="DI42" s="232"/>
      <c r="DJ42" s="232"/>
      <c r="DK42" s="232"/>
      <c r="DL42" s="232"/>
      <c r="DM42" s="232"/>
      <c r="DN42" s="232"/>
      <c r="DO42" s="232"/>
      <c r="DP42" s="232"/>
      <c r="DQ42" s="232"/>
      <c r="DR42" s="232"/>
      <c r="DS42" s="232"/>
      <c r="DT42" s="232"/>
      <c r="DU42" s="232"/>
      <c r="DV42" s="232"/>
      <c r="DW42" s="232"/>
      <c r="DX42" s="232"/>
      <c r="DY42" s="232"/>
      <c r="DZ42" s="232"/>
      <c r="EA42" s="232"/>
      <c r="EB42" s="232"/>
      <c r="EC42" s="232"/>
      <c r="ED42" s="232"/>
      <c r="EE42" s="232"/>
      <c r="EF42" s="232"/>
      <c r="EG42" s="232"/>
      <c r="EH42" s="232"/>
      <c r="EI42" s="232"/>
      <c r="EJ42" s="232"/>
      <c r="EK42" s="232"/>
      <c r="EL42" s="232"/>
      <c r="EM42" s="232"/>
      <c r="EN42" s="232"/>
      <c r="EO42" s="232"/>
      <c r="EP42" s="232"/>
      <c r="EQ42" s="232"/>
      <c r="ER42" s="232"/>
      <c r="ES42" s="232"/>
      <c r="ET42" s="232"/>
      <c r="EU42" s="232"/>
      <c r="EV42" s="232"/>
      <c r="EW42" s="232"/>
      <c r="EX42" s="232"/>
      <c r="EY42" s="232"/>
      <c r="EZ42" s="232"/>
      <c r="FA42" s="232"/>
      <c r="FB42" s="232"/>
      <c r="FC42" s="232"/>
      <c r="FD42" s="232"/>
      <c r="FE42" s="232"/>
      <c r="FF42" s="232"/>
      <c r="FG42" s="232"/>
      <c r="FH42" s="232"/>
      <c r="FI42" s="232"/>
      <c r="FJ42" s="232"/>
      <c r="FK42" s="232"/>
    </row>
    <row r="43" spans="1:167" ht="15.6">
      <c r="A43" s="238">
        <v>1</v>
      </c>
      <c r="B43" s="233" t="s">
        <v>1377</v>
      </c>
      <c r="C43" s="233" t="s">
        <v>1356</v>
      </c>
      <c r="D43" s="233">
        <v>1</v>
      </c>
      <c r="E43" s="233" t="s">
        <v>1378</v>
      </c>
      <c r="F43" s="233"/>
      <c r="G43" s="233"/>
      <c r="H43" s="239"/>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2"/>
      <c r="BR43" s="232"/>
      <c r="BS43" s="232"/>
      <c r="BT43" s="232"/>
      <c r="BU43" s="232"/>
      <c r="BV43" s="232"/>
      <c r="BW43" s="232"/>
      <c r="BX43" s="232"/>
      <c r="BY43" s="232"/>
      <c r="BZ43" s="232"/>
      <c r="CA43" s="232"/>
      <c r="CB43" s="232"/>
      <c r="CC43" s="232"/>
      <c r="CD43" s="232"/>
      <c r="CE43" s="232"/>
      <c r="CF43" s="232"/>
      <c r="CG43" s="232"/>
      <c r="CH43" s="232"/>
      <c r="CI43" s="232"/>
      <c r="CJ43" s="232"/>
      <c r="CK43" s="232"/>
      <c r="CL43" s="232"/>
      <c r="CM43" s="232"/>
      <c r="CN43" s="232"/>
      <c r="CO43" s="232"/>
      <c r="CP43" s="232"/>
      <c r="CQ43" s="232"/>
      <c r="CR43" s="232"/>
      <c r="CS43" s="232"/>
      <c r="CT43" s="232"/>
      <c r="CU43" s="232"/>
      <c r="CV43" s="232"/>
      <c r="CW43" s="232"/>
      <c r="CX43" s="232"/>
      <c r="CY43" s="232"/>
      <c r="CZ43" s="232"/>
      <c r="DA43" s="232"/>
      <c r="DB43" s="232"/>
      <c r="DC43" s="232"/>
      <c r="DD43" s="232"/>
      <c r="DE43" s="232"/>
      <c r="DF43" s="232"/>
      <c r="DG43" s="232"/>
      <c r="DH43" s="232"/>
      <c r="DI43" s="232"/>
      <c r="DJ43" s="232"/>
      <c r="DK43" s="232"/>
      <c r="DL43" s="232"/>
      <c r="DM43" s="232"/>
      <c r="DN43" s="232"/>
      <c r="DO43" s="232"/>
      <c r="DP43" s="232"/>
      <c r="DQ43" s="232"/>
      <c r="DR43" s="232"/>
      <c r="DS43" s="232"/>
      <c r="DT43" s="232"/>
      <c r="DU43" s="232"/>
      <c r="DV43" s="232"/>
      <c r="DW43" s="232"/>
      <c r="DX43" s="232"/>
      <c r="DY43" s="232"/>
      <c r="DZ43" s="232"/>
      <c r="EA43" s="232"/>
      <c r="EB43" s="232"/>
      <c r="EC43" s="232"/>
      <c r="ED43" s="232"/>
      <c r="EE43" s="232"/>
      <c r="EF43" s="232"/>
      <c r="EG43" s="232"/>
      <c r="EH43" s="232"/>
      <c r="EI43" s="232"/>
      <c r="EJ43" s="232"/>
      <c r="EK43" s="232"/>
      <c r="EL43" s="232"/>
      <c r="EM43" s="232"/>
      <c r="EN43" s="232"/>
      <c r="EO43" s="232"/>
      <c r="EP43" s="232"/>
      <c r="EQ43" s="232"/>
      <c r="ER43" s="232"/>
      <c r="ES43" s="232"/>
      <c r="ET43" s="232"/>
      <c r="EU43" s="232"/>
      <c r="EV43" s="232"/>
      <c r="EW43" s="232"/>
      <c r="EX43" s="232"/>
      <c r="EY43" s="232"/>
      <c r="EZ43" s="232"/>
      <c r="FA43" s="232"/>
      <c r="FB43" s="232"/>
      <c r="FC43" s="232"/>
      <c r="FD43" s="232"/>
      <c r="FE43" s="232"/>
      <c r="FF43" s="232"/>
      <c r="FG43" s="232"/>
      <c r="FH43" s="232"/>
      <c r="FI43" s="232"/>
      <c r="FJ43" s="232"/>
      <c r="FK43" s="232"/>
    </row>
    <row r="44" spans="1:167" ht="15.6">
      <c r="A44" s="238">
        <v>1</v>
      </c>
      <c r="B44" s="233" t="s">
        <v>1379</v>
      </c>
      <c r="C44" s="233" t="s">
        <v>1356</v>
      </c>
      <c r="D44" s="233">
        <v>21</v>
      </c>
      <c r="E44" s="233" t="s">
        <v>1378</v>
      </c>
      <c r="F44" s="233"/>
      <c r="G44" s="233"/>
      <c r="H44" s="239"/>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2"/>
      <c r="BR44" s="232"/>
      <c r="BS44" s="232"/>
      <c r="BT44" s="232"/>
      <c r="BU44" s="232"/>
      <c r="BV44" s="232"/>
      <c r="BW44" s="232"/>
      <c r="BX44" s="232"/>
      <c r="BY44" s="232"/>
      <c r="BZ44" s="232"/>
      <c r="CA44" s="232"/>
      <c r="CB44" s="232"/>
      <c r="CC44" s="232"/>
      <c r="CD44" s="232"/>
      <c r="CE44" s="232"/>
      <c r="CF44" s="232"/>
      <c r="CG44" s="232"/>
      <c r="CH44" s="232"/>
      <c r="CI44" s="232"/>
      <c r="CJ44" s="232"/>
      <c r="CK44" s="232"/>
      <c r="CL44" s="232"/>
      <c r="CM44" s="232"/>
      <c r="CN44" s="232"/>
      <c r="CO44" s="232"/>
      <c r="CP44" s="232"/>
      <c r="CQ44" s="232"/>
      <c r="CR44" s="232"/>
      <c r="CS44" s="232"/>
      <c r="CT44" s="232"/>
      <c r="CU44" s="232"/>
      <c r="CV44" s="232"/>
      <c r="CW44" s="232"/>
      <c r="CX44" s="232"/>
      <c r="CY44" s="232"/>
      <c r="CZ44" s="232"/>
      <c r="DA44" s="232"/>
      <c r="DB44" s="232"/>
      <c r="DC44" s="232"/>
      <c r="DD44" s="232"/>
      <c r="DE44" s="232"/>
      <c r="DF44" s="232"/>
      <c r="DG44" s="232"/>
      <c r="DH44" s="232"/>
      <c r="DI44" s="232"/>
      <c r="DJ44" s="232"/>
      <c r="DK44" s="232"/>
      <c r="DL44" s="232"/>
      <c r="DM44" s="232"/>
      <c r="DN44" s="232"/>
      <c r="DO44" s="232"/>
      <c r="DP44" s="232"/>
      <c r="DQ44" s="232"/>
      <c r="DR44" s="232"/>
      <c r="DS44" s="232"/>
      <c r="DT44" s="232"/>
      <c r="DU44" s="232"/>
      <c r="DV44" s="232"/>
      <c r="DW44" s="232"/>
      <c r="DX44" s="232"/>
      <c r="DY44" s="232"/>
      <c r="DZ44" s="232"/>
      <c r="EA44" s="232"/>
      <c r="EB44" s="232"/>
      <c r="EC44" s="232"/>
      <c r="ED44" s="232"/>
      <c r="EE44" s="232"/>
      <c r="EF44" s="232"/>
      <c r="EG44" s="232"/>
      <c r="EH44" s="232"/>
      <c r="EI44" s="232"/>
      <c r="EJ44" s="232"/>
      <c r="EK44" s="232"/>
      <c r="EL44" s="232"/>
      <c r="EM44" s="232"/>
      <c r="EN44" s="232"/>
      <c r="EO44" s="232"/>
      <c r="EP44" s="232"/>
      <c r="EQ44" s="232"/>
      <c r="ER44" s="232"/>
      <c r="ES44" s="232"/>
      <c r="ET44" s="232"/>
      <c r="EU44" s="232"/>
      <c r="EV44" s="232"/>
      <c r="EW44" s="232"/>
      <c r="EX44" s="232"/>
      <c r="EY44" s="232"/>
      <c r="EZ44" s="232"/>
      <c r="FA44" s="232"/>
      <c r="FB44" s="232"/>
      <c r="FC44" s="232"/>
      <c r="FD44" s="232"/>
      <c r="FE44" s="232"/>
      <c r="FF44" s="232"/>
      <c r="FG44" s="232"/>
      <c r="FH44" s="232"/>
      <c r="FI44" s="232"/>
      <c r="FJ44" s="232"/>
      <c r="FK44" s="232"/>
    </row>
    <row r="45" spans="1:167" ht="15.6">
      <c r="A45" s="241">
        <v>1</v>
      </c>
      <c r="B45" s="242" t="s">
        <v>1380</v>
      </c>
      <c r="C45" s="242" t="s">
        <v>1356</v>
      </c>
      <c r="D45" s="242">
        <v>310</v>
      </c>
      <c r="E45" s="242" t="s">
        <v>1378</v>
      </c>
      <c r="F45" s="242"/>
      <c r="G45" s="242"/>
      <c r="H45" s="243"/>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2"/>
      <c r="BR45" s="232"/>
      <c r="BS45" s="232"/>
      <c r="BT45" s="232"/>
      <c r="BU45" s="232"/>
      <c r="BV45" s="232"/>
      <c r="BW45" s="232"/>
      <c r="BX45" s="232"/>
      <c r="BY45" s="232"/>
      <c r="BZ45" s="232"/>
      <c r="CA45" s="232"/>
      <c r="CB45" s="232"/>
      <c r="CC45" s="232"/>
      <c r="CD45" s="232"/>
      <c r="CE45" s="232"/>
      <c r="CF45" s="232"/>
      <c r="CG45" s="232"/>
      <c r="CH45" s="232"/>
      <c r="CI45" s="232"/>
      <c r="CJ45" s="232"/>
      <c r="CK45" s="232"/>
      <c r="CL45" s="232"/>
      <c r="CM45" s="232"/>
      <c r="CN45" s="232"/>
      <c r="CO45" s="232"/>
      <c r="CP45" s="232"/>
      <c r="CQ45" s="232"/>
      <c r="CR45" s="232"/>
      <c r="CS45" s="232"/>
      <c r="CT45" s="232"/>
      <c r="CU45" s="232"/>
      <c r="CV45" s="232"/>
      <c r="CW45" s="232"/>
      <c r="CX45" s="232"/>
      <c r="CY45" s="232"/>
      <c r="CZ45" s="232"/>
      <c r="DA45" s="232"/>
      <c r="DB45" s="232"/>
      <c r="DC45" s="232"/>
      <c r="DD45" s="232"/>
      <c r="DE45" s="232"/>
      <c r="DF45" s="232"/>
      <c r="DG45" s="232"/>
      <c r="DH45" s="232"/>
      <c r="DI45" s="232"/>
      <c r="DJ45" s="232"/>
      <c r="DK45" s="232"/>
      <c r="DL45" s="232"/>
      <c r="DM45" s="232"/>
      <c r="DN45" s="232"/>
      <c r="DO45" s="232"/>
      <c r="DP45" s="232"/>
      <c r="DQ45" s="232"/>
      <c r="DR45" s="232"/>
      <c r="DS45" s="232"/>
      <c r="DT45" s="232"/>
      <c r="DU45" s="232"/>
      <c r="DV45" s="232"/>
      <c r="DW45" s="232"/>
      <c r="DX45" s="232"/>
      <c r="DY45" s="232"/>
      <c r="DZ45" s="232"/>
      <c r="EA45" s="232"/>
      <c r="EB45" s="232"/>
      <c r="EC45" s="232"/>
      <c r="ED45" s="232"/>
      <c r="EE45" s="232"/>
      <c r="EF45" s="232"/>
      <c r="EG45" s="232"/>
      <c r="EH45" s="232"/>
      <c r="EI45" s="232"/>
      <c r="EJ45" s="232"/>
      <c r="EK45" s="232"/>
      <c r="EL45" s="232"/>
      <c r="EM45" s="232"/>
      <c r="EN45" s="232"/>
      <c r="EO45" s="232"/>
      <c r="EP45" s="232"/>
      <c r="EQ45" s="232"/>
      <c r="ER45" s="232"/>
      <c r="ES45" s="232"/>
      <c r="ET45" s="232"/>
      <c r="EU45" s="232"/>
      <c r="EV45" s="232"/>
      <c r="EW45" s="232"/>
      <c r="EX45" s="232"/>
      <c r="EY45" s="232"/>
      <c r="EZ45" s="232"/>
      <c r="FA45" s="232"/>
      <c r="FB45" s="232"/>
      <c r="FC45" s="232"/>
      <c r="FD45" s="232"/>
      <c r="FE45" s="232"/>
      <c r="FF45" s="232"/>
      <c r="FG45" s="232"/>
      <c r="FH45" s="232"/>
      <c r="FI45" s="232"/>
      <c r="FJ45" s="232"/>
      <c r="FK45" s="232"/>
    </row>
    <row r="46" spans="1:167">
      <c r="A46" s="232"/>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c r="BP46" s="232"/>
      <c r="BQ46" s="232"/>
      <c r="BR46" s="232"/>
      <c r="BS46" s="232"/>
      <c r="BT46" s="232"/>
      <c r="BU46" s="232"/>
      <c r="BV46" s="232"/>
      <c r="BW46" s="232"/>
      <c r="BX46" s="232"/>
      <c r="BY46" s="232"/>
      <c r="BZ46" s="232"/>
      <c r="CA46" s="232"/>
      <c r="CB46" s="232"/>
      <c r="CC46" s="232"/>
      <c r="CD46" s="232"/>
      <c r="CE46" s="232"/>
      <c r="CF46" s="232"/>
      <c r="CG46" s="232"/>
      <c r="CH46" s="232"/>
      <c r="CI46" s="232"/>
      <c r="CJ46" s="232"/>
      <c r="CK46" s="232"/>
      <c r="CL46" s="232"/>
      <c r="CM46" s="232"/>
      <c r="CN46" s="232"/>
      <c r="CO46" s="232"/>
      <c r="CP46" s="232"/>
      <c r="CQ46" s="232"/>
      <c r="CR46" s="232"/>
      <c r="CS46" s="232"/>
      <c r="CT46" s="232"/>
      <c r="CU46" s="232"/>
      <c r="CV46" s="232"/>
      <c r="CW46" s="232"/>
      <c r="CX46" s="232"/>
      <c r="CY46" s="232"/>
      <c r="CZ46" s="232"/>
      <c r="DA46" s="232"/>
      <c r="DB46" s="232"/>
      <c r="DC46" s="232"/>
      <c r="DD46" s="232"/>
      <c r="DE46" s="232"/>
      <c r="DF46" s="232"/>
      <c r="DG46" s="232"/>
      <c r="DH46" s="232"/>
      <c r="DI46" s="232"/>
      <c r="DJ46" s="232"/>
      <c r="DK46" s="232"/>
      <c r="DL46" s="232"/>
      <c r="DM46" s="232"/>
      <c r="DN46" s="232"/>
      <c r="DO46" s="232"/>
      <c r="DP46" s="232"/>
      <c r="DQ46" s="232"/>
      <c r="DR46" s="232"/>
      <c r="DS46" s="232"/>
      <c r="DT46" s="232"/>
      <c r="DU46" s="232"/>
      <c r="DV46" s="232"/>
      <c r="DW46" s="232"/>
      <c r="DX46" s="232"/>
      <c r="DY46" s="232"/>
      <c r="DZ46" s="232"/>
      <c r="EA46" s="232"/>
      <c r="EB46" s="232"/>
      <c r="EC46" s="232"/>
      <c r="ED46" s="232"/>
      <c r="EE46" s="232"/>
      <c r="EF46" s="232"/>
      <c r="EG46" s="232"/>
      <c r="EH46" s="232"/>
      <c r="EI46" s="232"/>
      <c r="EJ46" s="232"/>
      <c r="EK46" s="232"/>
      <c r="EL46" s="232"/>
      <c r="EM46" s="232"/>
      <c r="EN46" s="232"/>
      <c r="EO46" s="232"/>
      <c r="EP46" s="232"/>
      <c r="EQ46" s="232"/>
      <c r="ER46" s="232"/>
      <c r="ES46" s="232"/>
      <c r="ET46" s="232"/>
      <c r="EU46" s="232"/>
      <c r="EV46" s="232"/>
      <c r="EW46" s="232"/>
      <c r="EX46" s="232"/>
      <c r="EY46" s="232"/>
      <c r="EZ46" s="232"/>
      <c r="FA46" s="232"/>
      <c r="FB46" s="232"/>
      <c r="FC46" s="232"/>
      <c r="FD46" s="232"/>
      <c r="FE46" s="232"/>
      <c r="FF46" s="232"/>
      <c r="FG46" s="232"/>
      <c r="FH46" s="232"/>
      <c r="FI46" s="232"/>
      <c r="FJ46" s="232"/>
      <c r="FK46" s="232"/>
    </row>
    <row r="47" spans="1:167">
      <c r="A47" s="232"/>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2"/>
      <c r="BR47" s="232"/>
      <c r="BS47" s="232"/>
      <c r="BT47" s="232"/>
      <c r="BU47" s="232"/>
      <c r="BV47" s="232"/>
      <c r="BW47" s="232"/>
      <c r="BX47" s="232"/>
      <c r="BY47" s="232"/>
      <c r="BZ47" s="232"/>
      <c r="CA47" s="232"/>
      <c r="CB47" s="232"/>
      <c r="CC47" s="232"/>
      <c r="CD47" s="232"/>
      <c r="CE47" s="232"/>
      <c r="CF47" s="232"/>
      <c r="CG47" s="232"/>
      <c r="CH47" s="232"/>
      <c r="CI47" s="232"/>
      <c r="CJ47" s="232"/>
      <c r="CK47" s="232"/>
      <c r="CL47" s="232"/>
      <c r="CM47" s="232"/>
      <c r="CN47" s="232"/>
      <c r="CO47" s="232"/>
      <c r="CP47" s="232"/>
      <c r="CQ47" s="232"/>
      <c r="CR47" s="232"/>
      <c r="CS47" s="232"/>
      <c r="CT47" s="232"/>
      <c r="CU47" s="232"/>
      <c r="CV47" s="232"/>
      <c r="CW47" s="232"/>
      <c r="CX47" s="232"/>
      <c r="CY47" s="232"/>
      <c r="CZ47" s="232"/>
      <c r="DA47" s="232"/>
      <c r="DB47" s="232"/>
      <c r="DC47" s="232"/>
      <c r="DD47" s="232"/>
      <c r="DE47" s="232"/>
      <c r="DF47" s="232"/>
      <c r="DG47" s="232"/>
      <c r="DH47" s="232"/>
      <c r="DI47" s="232"/>
      <c r="DJ47" s="232"/>
      <c r="DK47" s="232"/>
      <c r="DL47" s="232"/>
      <c r="DM47" s="232"/>
      <c r="DN47" s="232"/>
      <c r="DO47" s="232"/>
      <c r="DP47" s="232"/>
      <c r="DQ47" s="232"/>
      <c r="DR47" s="232"/>
      <c r="DS47" s="232"/>
      <c r="DT47" s="232"/>
      <c r="DU47" s="232"/>
      <c r="DV47" s="232"/>
      <c r="DW47" s="232"/>
      <c r="DX47" s="232"/>
      <c r="DY47" s="232"/>
      <c r="DZ47" s="232"/>
      <c r="EA47" s="232"/>
      <c r="EB47" s="232"/>
      <c r="EC47" s="232"/>
      <c r="ED47" s="232"/>
      <c r="EE47" s="232"/>
      <c r="EF47" s="232"/>
      <c r="EG47" s="232"/>
      <c r="EH47" s="232"/>
      <c r="EI47" s="232"/>
      <c r="EJ47" s="232"/>
      <c r="EK47" s="232"/>
      <c r="EL47" s="232"/>
      <c r="EM47" s="232"/>
      <c r="EN47" s="232"/>
      <c r="EO47" s="232"/>
      <c r="EP47" s="232"/>
      <c r="EQ47" s="232"/>
      <c r="ER47" s="232"/>
      <c r="ES47" s="232"/>
      <c r="ET47" s="232"/>
      <c r="EU47" s="232"/>
      <c r="EV47" s="232"/>
      <c r="EW47" s="232"/>
      <c r="EX47" s="232"/>
      <c r="EY47" s="232"/>
      <c r="EZ47" s="232"/>
      <c r="FA47" s="232"/>
      <c r="FB47" s="232"/>
      <c r="FC47" s="232"/>
      <c r="FD47" s="232"/>
      <c r="FE47" s="232"/>
      <c r="FF47" s="232"/>
      <c r="FG47" s="232"/>
      <c r="FH47" s="232"/>
      <c r="FI47" s="232"/>
      <c r="FJ47" s="232"/>
      <c r="FK47" s="232"/>
    </row>
    <row r="48" spans="1:167">
      <c r="A48" s="232"/>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c r="BQ48" s="232"/>
      <c r="BR48" s="232"/>
      <c r="BS48" s="232"/>
      <c r="BT48" s="232"/>
      <c r="BU48" s="232"/>
      <c r="BV48" s="232"/>
      <c r="BW48" s="232"/>
      <c r="BX48" s="232"/>
      <c r="BY48" s="232"/>
      <c r="BZ48" s="232"/>
      <c r="CA48" s="232"/>
      <c r="CB48" s="232"/>
      <c r="CC48" s="232"/>
      <c r="CD48" s="232"/>
      <c r="CE48" s="232"/>
      <c r="CF48" s="232"/>
      <c r="CG48" s="232"/>
      <c r="CH48" s="232"/>
      <c r="CI48" s="232"/>
      <c r="CJ48" s="232"/>
      <c r="CK48" s="232"/>
      <c r="CL48" s="232"/>
      <c r="CM48" s="232"/>
      <c r="CN48" s="232"/>
      <c r="CO48" s="232"/>
      <c r="CP48" s="232"/>
      <c r="CQ48" s="232"/>
      <c r="CR48" s="232"/>
      <c r="CS48" s="232"/>
      <c r="CT48" s="232"/>
      <c r="CU48" s="232"/>
      <c r="CV48" s="232"/>
      <c r="CW48" s="232"/>
      <c r="CX48" s="232"/>
      <c r="CY48" s="232"/>
      <c r="CZ48" s="232"/>
      <c r="DA48" s="232"/>
      <c r="DB48" s="232"/>
      <c r="DC48" s="232"/>
      <c r="DD48" s="232"/>
      <c r="DE48" s="232"/>
      <c r="DF48" s="232"/>
      <c r="DG48" s="232"/>
      <c r="DH48" s="232"/>
      <c r="DI48" s="232"/>
      <c r="DJ48" s="232"/>
      <c r="DK48" s="232"/>
      <c r="DL48" s="232"/>
      <c r="DM48" s="232"/>
      <c r="DN48" s="232"/>
      <c r="DO48" s="232"/>
      <c r="DP48" s="232"/>
      <c r="DQ48" s="232"/>
      <c r="DR48" s="232"/>
      <c r="DS48" s="232"/>
      <c r="DT48" s="232"/>
      <c r="DU48" s="232"/>
      <c r="DV48" s="232"/>
      <c r="DW48" s="232"/>
      <c r="DX48" s="232"/>
      <c r="DY48" s="232"/>
      <c r="DZ48" s="232"/>
      <c r="EA48" s="232"/>
      <c r="EB48" s="232"/>
      <c r="EC48" s="232"/>
      <c r="ED48" s="232"/>
      <c r="EE48" s="232"/>
      <c r="EF48" s="232"/>
      <c r="EG48" s="232"/>
      <c r="EH48" s="232"/>
      <c r="EI48" s="232"/>
      <c r="EJ48" s="232"/>
      <c r="EK48" s="232"/>
      <c r="EL48" s="232"/>
      <c r="EM48" s="232"/>
      <c r="EN48" s="232"/>
      <c r="EO48" s="232"/>
      <c r="EP48" s="232"/>
      <c r="EQ48" s="232"/>
      <c r="ER48" s="232"/>
      <c r="ES48" s="232"/>
      <c r="ET48" s="232"/>
      <c r="EU48" s="232"/>
      <c r="EV48" s="232"/>
      <c r="EW48" s="232"/>
      <c r="EX48" s="232"/>
      <c r="EY48" s="232"/>
      <c r="EZ48" s="232"/>
      <c r="FA48" s="232"/>
      <c r="FB48" s="232"/>
      <c r="FC48" s="232"/>
      <c r="FD48" s="232"/>
      <c r="FE48" s="232"/>
      <c r="FF48" s="232"/>
      <c r="FG48" s="232"/>
      <c r="FH48" s="232"/>
      <c r="FI48" s="232"/>
      <c r="FJ48" s="232"/>
      <c r="FK48" s="232"/>
    </row>
    <row r="49" spans="1:167">
      <c r="A49" s="232"/>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2"/>
      <c r="BR49" s="232"/>
      <c r="BS49" s="232"/>
      <c r="BT49" s="232"/>
      <c r="BU49" s="232"/>
      <c r="BV49" s="232"/>
      <c r="BW49" s="232"/>
      <c r="BX49" s="232"/>
      <c r="BY49" s="232"/>
      <c r="BZ49" s="232"/>
      <c r="CA49" s="232"/>
      <c r="CB49" s="232"/>
      <c r="CC49" s="232"/>
      <c r="CD49" s="232"/>
      <c r="CE49" s="232"/>
      <c r="CF49" s="232"/>
      <c r="CG49" s="232"/>
      <c r="CH49" s="232"/>
      <c r="CI49" s="232"/>
      <c r="CJ49" s="232"/>
      <c r="CK49" s="232"/>
      <c r="CL49" s="232"/>
      <c r="CM49" s="232"/>
      <c r="CN49" s="232"/>
      <c r="CO49" s="232"/>
      <c r="CP49" s="232"/>
      <c r="CQ49" s="232"/>
      <c r="CR49" s="232"/>
      <c r="CS49" s="232"/>
      <c r="CT49" s="232"/>
      <c r="CU49" s="232"/>
      <c r="CV49" s="232"/>
      <c r="CW49" s="232"/>
      <c r="CX49" s="232"/>
      <c r="CY49" s="232"/>
      <c r="CZ49" s="232"/>
      <c r="DA49" s="232"/>
      <c r="DB49" s="232"/>
      <c r="DC49" s="232"/>
      <c r="DD49" s="232"/>
      <c r="DE49" s="232"/>
      <c r="DF49" s="232"/>
      <c r="DG49" s="232"/>
      <c r="DH49" s="232"/>
      <c r="DI49" s="232"/>
      <c r="DJ49" s="232"/>
      <c r="DK49" s="232"/>
      <c r="DL49" s="232"/>
      <c r="DM49" s="232"/>
      <c r="DN49" s="232"/>
      <c r="DO49" s="232"/>
      <c r="DP49" s="232"/>
      <c r="DQ49" s="232"/>
      <c r="DR49" s="232"/>
      <c r="DS49" s="232"/>
      <c r="DT49" s="232"/>
      <c r="DU49" s="232"/>
      <c r="DV49" s="232"/>
      <c r="DW49" s="232"/>
      <c r="DX49" s="232"/>
      <c r="DY49" s="232"/>
      <c r="DZ49" s="232"/>
      <c r="EA49" s="232"/>
      <c r="EB49" s="232"/>
      <c r="EC49" s="232"/>
      <c r="ED49" s="232"/>
      <c r="EE49" s="232"/>
      <c r="EF49" s="232"/>
      <c r="EG49" s="232"/>
      <c r="EH49" s="232"/>
      <c r="EI49" s="232"/>
      <c r="EJ49" s="232"/>
      <c r="EK49" s="232"/>
      <c r="EL49" s="232"/>
      <c r="EM49" s="232"/>
      <c r="EN49" s="232"/>
      <c r="EO49" s="232"/>
      <c r="EP49" s="232"/>
      <c r="EQ49" s="232"/>
      <c r="ER49" s="232"/>
      <c r="ES49" s="232"/>
      <c r="ET49" s="232"/>
      <c r="EU49" s="232"/>
      <c r="EV49" s="232"/>
      <c r="EW49" s="232"/>
      <c r="EX49" s="232"/>
      <c r="EY49" s="232"/>
      <c r="EZ49" s="232"/>
      <c r="FA49" s="232"/>
      <c r="FB49" s="232"/>
      <c r="FC49" s="232"/>
      <c r="FD49" s="232"/>
      <c r="FE49" s="232"/>
      <c r="FF49" s="232"/>
      <c r="FG49" s="232"/>
      <c r="FH49" s="232"/>
      <c r="FI49" s="232"/>
      <c r="FJ49" s="232"/>
      <c r="FK49" s="232"/>
    </row>
    <row r="52" spans="1:167">
      <c r="B52" s="709" t="s">
        <v>1997</v>
      </c>
      <c r="C52" s="710" t="s">
        <v>1998</v>
      </c>
      <c r="D52" s="710" t="s">
        <v>1999</v>
      </c>
      <c r="E52" s="710" t="s">
        <v>2000</v>
      </c>
      <c r="F52" s="711" t="s">
        <v>2000</v>
      </c>
      <c r="G52" s="368"/>
      <c r="H52" s="712" t="s">
        <v>1998</v>
      </c>
      <c r="I52" s="712" t="s">
        <v>1999</v>
      </c>
    </row>
    <row r="53" spans="1:167" ht="26.4">
      <c r="B53" s="713"/>
      <c r="C53" s="714" t="s">
        <v>2001</v>
      </c>
      <c r="D53" s="714" t="s">
        <v>2001</v>
      </c>
      <c r="E53" s="714" t="s">
        <v>2002</v>
      </c>
      <c r="F53" s="714" t="s">
        <v>2003</v>
      </c>
      <c r="G53" s="368"/>
      <c r="H53" s="714" t="s">
        <v>2004</v>
      </c>
      <c r="I53" s="714" t="s">
        <v>2004</v>
      </c>
    </row>
    <row r="54" spans="1:167">
      <c r="B54" s="1001" t="s">
        <v>2005</v>
      </c>
      <c r="C54" s="1002"/>
      <c r="D54" s="1002"/>
      <c r="E54" s="1002"/>
      <c r="F54" s="1003"/>
      <c r="G54" s="368"/>
      <c r="H54" s="714"/>
      <c r="I54" s="714"/>
    </row>
    <row r="55" spans="1:167">
      <c r="B55" s="715" t="s">
        <v>2006</v>
      </c>
      <c r="C55" s="716">
        <v>45.0702396502762</v>
      </c>
      <c r="D55" s="716">
        <v>47.442357526606528</v>
      </c>
      <c r="E55" s="717">
        <v>707.21357850070729</v>
      </c>
      <c r="F55" s="718">
        <v>1414</v>
      </c>
      <c r="G55" s="368"/>
      <c r="H55" s="716">
        <v>12.519511013975626</v>
      </c>
      <c r="I55" s="716">
        <v>13.178432646290133</v>
      </c>
    </row>
    <row r="56" spans="1:167">
      <c r="B56" s="715" t="s">
        <v>2007</v>
      </c>
      <c r="C56" s="716">
        <v>43.891116847026666</v>
      </c>
      <c r="D56" s="716">
        <v>46.201175628449121</v>
      </c>
      <c r="E56" s="717">
        <v>800.64051240992785</v>
      </c>
      <c r="F56" s="718">
        <v>1249</v>
      </c>
      <c r="G56" s="368"/>
      <c r="H56" s="716">
        <v>12.191976901961603</v>
      </c>
      <c r="I56" s="716">
        <v>12.833659896801688</v>
      </c>
    </row>
    <row r="57" spans="1:167" ht="15.6">
      <c r="B57" s="715" t="s">
        <v>2008</v>
      </c>
      <c r="C57" s="716">
        <v>43.856623536794238</v>
      </c>
      <c r="D57" s="716">
        <v>46.164866880836044</v>
      </c>
      <c r="E57" s="717">
        <v>803.21285140562247</v>
      </c>
      <c r="F57" s="718">
        <v>1245</v>
      </c>
      <c r="G57" s="368"/>
      <c r="H57" s="716">
        <v>12.182395426897033</v>
      </c>
      <c r="I57" s="716">
        <v>12.823574133575825</v>
      </c>
    </row>
    <row r="58" spans="1:167" ht="15.6">
      <c r="B58" s="715" t="s">
        <v>2009</v>
      </c>
      <c r="C58" s="716">
        <v>28.974999999999998</v>
      </c>
      <c r="D58" s="716">
        <v>30.5</v>
      </c>
      <c r="E58" s="717">
        <v>850</v>
      </c>
      <c r="F58" s="718">
        <v>1176.4705882352941</v>
      </c>
      <c r="G58" s="368"/>
      <c r="H58" s="716">
        <v>8.0486111111175482</v>
      </c>
      <c r="I58" s="716">
        <v>8.4722222222289982</v>
      </c>
    </row>
    <row r="59" spans="1:167" ht="15.6">
      <c r="B59" s="715" t="s">
        <v>2010</v>
      </c>
      <c r="C59" s="716">
        <v>23.75</v>
      </c>
      <c r="D59" s="716">
        <v>25</v>
      </c>
      <c r="E59" s="719"/>
      <c r="F59" s="720"/>
      <c r="G59" s="368"/>
      <c r="H59" s="716">
        <v>6.5972222222274999</v>
      </c>
      <c r="I59" s="716">
        <v>6.9444444444499993</v>
      </c>
    </row>
    <row r="60" spans="1:167" ht="15.6">
      <c r="B60" s="715" t="s">
        <v>2011</v>
      </c>
      <c r="C60" s="716">
        <v>24.509999999999998</v>
      </c>
      <c r="D60" s="716">
        <v>25.8</v>
      </c>
      <c r="E60" s="719"/>
      <c r="F60" s="720"/>
      <c r="G60" s="368"/>
      <c r="H60" s="716">
        <v>6.808333333338779</v>
      </c>
      <c r="I60" s="716">
        <v>7.1666666666723993</v>
      </c>
    </row>
    <row r="61" spans="1:167">
      <c r="B61" s="715" t="s">
        <v>2012</v>
      </c>
      <c r="C61" s="716">
        <v>30.97</v>
      </c>
      <c r="D61" s="716">
        <v>32.6</v>
      </c>
      <c r="E61" s="719"/>
      <c r="F61" s="720"/>
      <c r="G61" s="368"/>
      <c r="H61" s="716">
        <v>8.6027777777846595</v>
      </c>
      <c r="I61" s="716">
        <v>9.0555555555627993</v>
      </c>
    </row>
    <row r="62" spans="1:167">
      <c r="B62" s="715" t="s">
        <v>167</v>
      </c>
      <c r="C62" s="716">
        <v>42.851916076664722</v>
      </c>
      <c r="D62" s="716">
        <v>45.587144762409281</v>
      </c>
      <c r="E62" s="717">
        <v>836.82008368200832</v>
      </c>
      <c r="F62" s="718">
        <v>1195</v>
      </c>
      <c r="G62" s="368"/>
      <c r="H62" s="716">
        <v>11.903310021305277</v>
      </c>
      <c r="I62" s="716">
        <v>12.663095767346039</v>
      </c>
    </row>
    <row r="63" spans="1:167">
      <c r="B63" s="715" t="s">
        <v>2013</v>
      </c>
      <c r="C63" s="716">
        <v>40.848640539092607</v>
      </c>
      <c r="D63" s="716">
        <v>43.456000573502777</v>
      </c>
      <c r="E63" s="717">
        <v>976.5625</v>
      </c>
      <c r="F63" s="718">
        <v>1024</v>
      </c>
      <c r="G63" s="368"/>
      <c r="H63" s="716">
        <v>11.346844594201468</v>
      </c>
      <c r="I63" s="716">
        <v>12.071111270427094</v>
      </c>
    </row>
    <row r="64" spans="1:167">
      <c r="B64" s="715" t="s">
        <v>2014</v>
      </c>
      <c r="C64" s="716">
        <v>42.851916076664722</v>
      </c>
      <c r="D64" s="716">
        <v>45.587144762409281</v>
      </c>
      <c r="E64" s="717">
        <v>867.30268863833476</v>
      </c>
      <c r="F64" s="718">
        <v>1153</v>
      </c>
      <c r="G64" s="368"/>
      <c r="H64" s="716">
        <v>11.903310021305277</v>
      </c>
      <c r="I64" s="716">
        <v>12.663095767346039</v>
      </c>
    </row>
    <row r="65" spans="2:9">
      <c r="B65" s="715" t="s">
        <v>1493</v>
      </c>
      <c r="C65" s="716">
        <v>45.96383240505925</v>
      </c>
      <c r="D65" s="716">
        <v>49.232369410202601</v>
      </c>
      <c r="E65" s="717">
        <v>508.130081300813</v>
      </c>
      <c r="F65" s="718">
        <v>1968</v>
      </c>
      <c r="G65" s="368"/>
      <c r="H65" s="716">
        <v>12.767731223637782</v>
      </c>
      <c r="I65" s="716">
        <v>13.675658169511662</v>
      </c>
    </row>
    <row r="66" spans="2:9">
      <c r="B66" s="715" t="s">
        <v>2015</v>
      </c>
      <c r="C66" s="716">
        <v>45.154520548299288</v>
      </c>
      <c r="D66" s="716">
        <v>47.531074261367671</v>
      </c>
      <c r="E66" s="717">
        <v>699.79006298110562</v>
      </c>
      <c r="F66" s="718">
        <v>1429</v>
      </c>
      <c r="G66" s="368"/>
      <c r="H66" s="716">
        <v>12.542922374537612</v>
      </c>
      <c r="I66" s="716">
        <v>13.203076183723802</v>
      </c>
    </row>
    <row r="67" spans="2:9">
      <c r="B67" s="715" t="s">
        <v>1428</v>
      </c>
      <c r="C67" s="716">
        <v>47.727174917133077</v>
      </c>
      <c r="D67" s="716">
        <v>53.089778840406453</v>
      </c>
      <c r="E67" s="721">
        <v>0.74590629053177693</v>
      </c>
      <c r="F67" s="718">
        <v>1340650.9808183447</v>
      </c>
      <c r="G67" s="368"/>
      <c r="H67" s="716">
        <v>13.257548588103125</v>
      </c>
      <c r="I67" s="716">
        <v>14.74716078901359</v>
      </c>
    </row>
    <row r="68" spans="2:9">
      <c r="B68" s="715" t="s">
        <v>2016</v>
      </c>
      <c r="C68" s="716">
        <v>44.742289369105855</v>
      </c>
      <c r="D68" s="716">
        <v>47.097146704321958</v>
      </c>
      <c r="E68" s="717">
        <v>734.2143906020558</v>
      </c>
      <c r="F68" s="718">
        <v>1362</v>
      </c>
      <c r="G68" s="368"/>
      <c r="H68" s="716">
        <v>12.428413713650455</v>
      </c>
      <c r="I68" s="716">
        <v>13.082540751211008</v>
      </c>
    </row>
    <row r="69" spans="2:9">
      <c r="B69" s="1001" t="s">
        <v>2017</v>
      </c>
      <c r="C69" s="1002"/>
      <c r="D69" s="1002"/>
      <c r="E69" s="1002"/>
      <c r="F69" s="1003"/>
      <c r="G69" s="368"/>
      <c r="H69" s="722"/>
      <c r="I69" s="722"/>
    </row>
    <row r="70" spans="2:9" ht="15.6">
      <c r="B70" s="715" t="s">
        <v>2018</v>
      </c>
      <c r="C70" s="716">
        <v>37.200000000000003</v>
      </c>
      <c r="D70" s="716">
        <v>41.04</v>
      </c>
      <c r="E70" s="717">
        <v>889.99999999999989</v>
      </c>
      <c r="F70" s="718">
        <v>1123.5955056179776</v>
      </c>
      <c r="G70" s="368"/>
      <c r="H70" s="716">
        <v>10.333333333341599</v>
      </c>
      <c r="I70" s="716">
        <v>11.400000000009118</v>
      </c>
    </row>
    <row r="71" spans="2:9" ht="15.6">
      <c r="B71" s="715" t="s">
        <v>2019</v>
      </c>
      <c r="C71" s="716">
        <v>44</v>
      </c>
      <c r="D71" s="716">
        <v>46.32</v>
      </c>
      <c r="E71" s="717">
        <v>780.00000000000011</v>
      </c>
      <c r="F71" s="718">
        <v>1282.051282051282</v>
      </c>
      <c r="G71" s="368"/>
      <c r="H71" s="716">
        <v>12.222222222231999</v>
      </c>
      <c r="I71" s="716">
        <v>12.866666666676958</v>
      </c>
    </row>
    <row r="72" spans="2:9" ht="15.6">
      <c r="B72" s="715" t="s">
        <v>2020</v>
      </c>
      <c r="C72" s="716">
        <v>26.8</v>
      </c>
      <c r="D72" s="716">
        <v>29.25</v>
      </c>
      <c r="E72" s="717">
        <v>793.99999999999989</v>
      </c>
      <c r="F72" s="718">
        <v>1259.4458438287154</v>
      </c>
      <c r="G72" s="368"/>
      <c r="H72" s="716">
        <v>7.4444444444503999</v>
      </c>
      <c r="I72" s="716">
        <v>8.1250000000064997</v>
      </c>
    </row>
    <row r="73" spans="2:9" ht="15.6">
      <c r="B73" s="715" t="s">
        <v>2021</v>
      </c>
      <c r="C73" s="716">
        <v>36.299999999999997</v>
      </c>
      <c r="D73" s="716">
        <v>39.619999999999997</v>
      </c>
      <c r="E73" s="717">
        <v>750</v>
      </c>
      <c r="F73" s="718">
        <v>1333.3333333333333</v>
      </c>
      <c r="G73" s="368"/>
      <c r="H73" s="716">
        <v>10.083333333341397</v>
      </c>
      <c r="I73" s="716">
        <v>11.005555555564358</v>
      </c>
    </row>
    <row r="74" spans="2:9" ht="15.6">
      <c r="B74" s="715" t="s">
        <v>2022</v>
      </c>
      <c r="C74" s="716">
        <v>30</v>
      </c>
      <c r="D74" s="716">
        <v>33.299999999999997</v>
      </c>
      <c r="E74" s="721">
        <v>0.96261187957689176</v>
      </c>
      <c r="F74" s="718">
        <v>1038840.2857022105</v>
      </c>
      <c r="G74" s="368"/>
      <c r="H74" s="716">
        <v>8.3333333333399988</v>
      </c>
      <c r="I74" s="716">
        <v>9.2500000000073985</v>
      </c>
    </row>
    <row r="75" spans="2:9" ht="15.6">
      <c r="B75" s="715" t="s">
        <v>2023</v>
      </c>
      <c r="C75" s="716">
        <v>49</v>
      </c>
      <c r="D75" s="716">
        <v>54.39</v>
      </c>
      <c r="E75" s="721">
        <v>0.72626538567789067</v>
      </c>
      <c r="F75" s="718">
        <v>1376907.1467816238</v>
      </c>
      <c r="G75" s="368"/>
      <c r="H75" s="716">
        <v>13.611111111121998</v>
      </c>
      <c r="I75" s="716">
        <v>15.108333333345419</v>
      </c>
    </row>
    <row r="76" spans="2:9" ht="15.6">
      <c r="B76" s="715" t="s">
        <v>2024</v>
      </c>
      <c r="C76" s="716">
        <v>47.727174917133077</v>
      </c>
      <c r="D76" s="716">
        <v>53.089778840406453</v>
      </c>
      <c r="E76" s="717">
        <v>175</v>
      </c>
      <c r="F76" s="718">
        <v>5714.2857142857147</v>
      </c>
      <c r="G76" s="368"/>
      <c r="H76" s="716">
        <v>13.257548588103125</v>
      </c>
      <c r="I76" s="716">
        <v>14.74716078901359</v>
      </c>
    </row>
    <row r="77" spans="2:9" ht="15.6">
      <c r="B77" s="715" t="s">
        <v>2025</v>
      </c>
      <c r="C77" s="716">
        <v>14.5</v>
      </c>
      <c r="D77" s="716">
        <v>15.264545454545454</v>
      </c>
      <c r="E77" s="717">
        <v>160</v>
      </c>
      <c r="F77" s="718">
        <v>6250</v>
      </c>
      <c r="G77" s="723"/>
      <c r="H77" s="716">
        <v>4.027777777781</v>
      </c>
      <c r="I77" s="716">
        <v>4.2401515151549063</v>
      </c>
    </row>
    <row r="78" spans="2:9" ht="15.6">
      <c r="B78" s="715" t="s">
        <v>2026</v>
      </c>
      <c r="C78" s="716">
        <v>47.727174917133077</v>
      </c>
      <c r="D78" s="716">
        <v>53.089778840406453</v>
      </c>
      <c r="E78" s="717">
        <v>452.48868778280541</v>
      </c>
      <c r="F78" s="718">
        <v>2210</v>
      </c>
      <c r="G78" s="723"/>
      <c r="H78" s="716">
        <v>13.257548588103125</v>
      </c>
      <c r="I78" s="716">
        <v>14.74716078901359</v>
      </c>
    </row>
    <row r="79" spans="2:9" ht="15.6">
      <c r="B79" s="715" t="s">
        <v>2027</v>
      </c>
      <c r="C79" s="716">
        <v>14</v>
      </c>
      <c r="D79" s="716">
        <v>14.738181818181818</v>
      </c>
      <c r="E79" s="717">
        <v>250</v>
      </c>
      <c r="F79" s="718">
        <v>4000</v>
      </c>
      <c r="G79" s="723"/>
      <c r="H79" s="716">
        <v>3.8888888888919997</v>
      </c>
      <c r="I79" s="716">
        <v>4.0939393939426685</v>
      </c>
    </row>
    <row r="80" spans="2:9" ht="15.6">
      <c r="B80" s="715" t="s">
        <v>2028</v>
      </c>
      <c r="C80" s="716">
        <v>14.7</v>
      </c>
      <c r="D80" s="716">
        <v>15.475090909090909</v>
      </c>
      <c r="E80" s="717">
        <v>425</v>
      </c>
      <c r="F80" s="718">
        <v>2352.9411764705883</v>
      </c>
      <c r="G80" s="723"/>
      <c r="H80" s="716">
        <v>4.0833333333365998</v>
      </c>
      <c r="I80" s="716">
        <v>4.2986363636398019</v>
      </c>
    </row>
    <row r="81" spans="2:9" ht="15.6">
      <c r="B81" s="715" t="s">
        <v>2029</v>
      </c>
      <c r="C81" s="716">
        <v>17</v>
      </c>
      <c r="D81" s="716">
        <v>17.896363636363638</v>
      </c>
      <c r="E81" s="717">
        <v>650</v>
      </c>
      <c r="F81" s="718">
        <v>1538.4615384615383</v>
      </c>
      <c r="G81" s="368"/>
      <c r="H81" s="716">
        <v>4.7222222222259997</v>
      </c>
      <c r="I81" s="716">
        <v>4.971212121216098</v>
      </c>
    </row>
    <row r="82" spans="2:9">
      <c r="B82" s="724"/>
      <c r="C82" s="725"/>
      <c r="D82" s="725"/>
      <c r="E82" s="726"/>
      <c r="F82" s="727"/>
      <c r="G82" s="368"/>
      <c r="H82" s="728"/>
      <c r="I82" s="728"/>
    </row>
    <row r="83" spans="2:9" ht="15.6">
      <c r="B83" s="715" t="s">
        <v>2030</v>
      </c>
      <c r="C83" s="716">
        <v>50</v>
      </c>
      <c r="D83" s="716">
        <v>55.5</v>
      </c>
      <c r="E83" s="721">
        <v>0.71699999999999997</v>
      </c>
      <c r="F83" s="718">
        <v>1394700.139470014</v>
      </c>
      <c r="G83" s="368"/>
      <c r="H83" s="716">
        <v>13.888888888899999</v>
      </c>
      <c r="I83" s="716">
        <v>15.416666666678999</v>
      </c>
    </row>
    <row r="84" spans="2:9" ht="15.6">
      <c r="B84" s="715" t="s">
        <v>2031</v>
      </c>
      <c r="C84" s="716">
        <v>0</v>
      </c>
      <c r="D84" s="716">
        <v>0</v>
      </c>
      <c r="E84" s="721">
        <v>1.9800000000000002</v>
      </c>
      <c r="F84" s="718">
        <v>505050.50505050505</v>
      </c>
      <c r="G84" s="368"/>
      <c r="H84" s="716">
        <v>0</v>
      </c>
      <c r="I84" s="716">
        <v>0</v>
      </c>
    </row>
  </sheetData>
  <mergeCells count="19">
    <mergeCell ref="E3:H3"/>
    <mergeCell ref="A2:H2"/>
    <mergeCell ref="A3:C3"/>
    <mergeCell ref="E12:G12"/>
    <mergeCell ref="E8:G8"/>
    <mergeCell ref="E9:G9"/>
    <mergeCell ref="E10:G10"/>
    <mergeCell ref="E11:G11"/>
    <mergeCell ref="E4:G4"/>
    <mergeCell ref="E5:G5"/>
    <mergeCell ref="E6:G6"/>
    <mergeCell ref="E7:G7"/>
    <mergeCell ref="B54:F54"/>
    <mergeCell ref="B69:F69"/>
    <mergeCell ref="E13:G13"/>
    <mergeCell ref="A42:H42"/>
    <mergeCell ref="A23:H23"/>
    <mergeCell ref="A17:C17"/>
    <mergeCell ref="D17:H17"/>
  </mergeCells>
  <hyperlinks>
    <hyperlink ref="A1" location="'About og Fane-Link'!A1" display="Til Forsiden"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121"/>
  <sheetViews>
    <sheetView topLeftCell="A37" workbookViewId="0">
      <selection activeCell="J132" sqref="J132"/>
    </sheetView>
  </sheetViews>
  <sheetFormatPr defaultRowHeight="14.4"/>
  <cols>
    <col min="2" max="2" width="26.5546875" style="882" customWidth="1"/>
    <col min="3" max="3" width="9.109375" style="882"/>
  </cols>
  <sheetData>
    <row r="1" spans="1:1">
      <c r="A1" s="44" t="s">
        <v>2527</v>
      </c>
    </row>
    <row r="18" spans="2:8">
      <c r="H18" t="s">
        <v>2421</v>
      </c>
    </row>
    <row r="19" spans="2:8">
      <c r="B19" s="883" t="s">
        <v>2422</v>
      </c>
      <c r="H19" s="44" t="s">
        <v>2423</v>
      </c>
    </row>
    <row r="20" spans="2:8">
      <c r="H20" s="44" t="s">
        <v>2424</v>
      </c>
    </row>
    <row r="21" spans="2:8">
      <c r="B21" s="882" t="s">
        <v>2425</v>
      </c>
      <c r="C21" s="882">
        <v>150</v>
      </c>
      <c r="H21" s="44" t="s">
        <v>2426</v>
      </c>
    </row>
    <row r="22" spans="2:8">
      <c r="B22" s="882" t="s">
        <v>2427</v>
      </c>
      <c r="C22" s="882">
        <v>5000</v>
      </c>
      <c r="H22" s="44" t="s">
        <v>2428</v>
      </c>
    </row>
    <row r="23" spans="2:8">
      <c r="B23" s="882" t="s">
        <v>2429</v>
      </c>
      <c r="C23" s="882">
        <v>3400</v>
      </c>
      <c r="H23" s="44" t="s">
        <v>2430</v>
      </c>
    </row>
    <row r="24" spans="2:8">
      <c r="B24" s="882" t="s">
        <v>2431</v>
      </c>
      <c r="C24" s="882">
        <v>4800</v>
      </c>
    </row>
    <row r="25" spans="2:8">
      <c r="B25" s="882" t="s">
        <v>2432</v>
      </c>
      <c r="C25" s="882">
        <v>15500</v>
      </c>
    </row>
    <row r="26" spans="2:8">
      <c r="B26" s="882" t="s">
        <v>2433</v>
      </c>
      <c r="C26" s="882">
        <v>3900</v>
      </c>
    </row>
    <row r="27" spans="2:8">
      <c r="B27" s="882" t="s">
        <v>2434</v>
      </c>
      <c r="C27" s="882">
        <v>1300</v>
      </c>
    </row>
    <row r="28" spans="2:8">
      <c r="B28" s="882" t="s">
        <v>2435</v>
      </c>
      <c r="C28" s="882">
        <v>900</v>
      </c>
    </row>
    <row r="29" spans="2:8">
      <c r="B29" s="882" t="s">
        <v>2436</v>
      </c>
      <c r="C29" s="882">
        <v>70</v>
      </c>
    </row>
    <row r="30" spans="2:8">
      <c r="B30" s="882" t="s">
        <v>2437</v>
      </c>
      <c r="C30" s="882">
        <v>460</v>
      </c>
    </row>
    <row r="31" spans="2:8">
      <c r="B31" s="882" t="s">
        <v>2438</v>
      </c>
      <c r="C31" s="882">
        <v>210</v>
      </c>
    </row>
    <row r="32" spans="2:8">
      <c r="B32" s="882" t="s">
        <v>2439</v>
      </c>
      <c r="C32" s="882">
        <v>2400</v>
      </c>
    </row>
    <row r="33" spans="2:3">
      <c r="B33" s="882" t="s">
        <v>2440</v>
      </c>
      <c r="C33" s="882">
        <v>6900</v>
      </c>
    </row>
    <row r="34" spans="2:3">
      <c r="B34" s="882" t="s">
        <v>2441</v>
      </c>
      <c r="C34" s="882">
        <v>24000</v>
      </c>
    </row>
    <row r="35" spans="2:3">
      <c r="B35" s="882" t="s">
        <v>2442</v>
      </c>
      <c r="C35" s="882">
        <v>120</v>
      </c>
    </row>
    <row r="36" spans="2:3">
      <c r="B36" s="882" t="s">
        <v>2443</v>
      </c>
      <c r="C36" s="882">
        <v>75</v>
      </c>
    </row>
    <row r="37" spans="2:3">
      <c r="B37" s="882" t="s">
        <v>2444</v>
      </c>
      <c r="C37" s="882">
        <v>2700</v>
      </c>
    </row>
    <row r="38" spans="2:3">
      <c r="B38" s="882" t="s">
        <v>2445</v>
      </c>
      <c r="C38" s="882">
        <v>16000</v>
      </c>
    </row>
    <row r="41" spans="2:3" s="883" customFormat="1">
      <c r="B41" s="883" t="s">
        <v>2446</v>
      </c>
    </row>
    <row r="43" spans="2:3">
      <c r="B43" s="882" t="s">
        <v>2447</v>
      </c>
      <c r="C43" s="882">
        <v>45.9</v>
      </c>
    </row>
    <row r="44" spans="2:3">
      <c r="B44" s="882" t="s">
        <v>649</v>
      </c>
      <c r="C44" s="882">
        <v>21.2</v>
      </c>
    </row>
    <row r="45" spans="2:3">
      <c r="B45" s="882" t="s">
        <v>2448</v>
      </c>
      <c r="C45" s="882">
        <v>12.9</v>
      </c>
    </row>
    <row r="46" spans="2:3">
      <c r="B46" s="882" t="s">
        <v>2449</v>
      </c>
      <c r="C46" s="882">
        <v>43.2</v>
      </c>
    </row>
    <row r="47" spans="2:3">
      <c r="B47" s="882" t="s">
        <v>2450</v>
      </c>
      <c r="C47" s="882">
        <v>37.6</v>
      </c>
    </row>
    <row r="48" spans="2:3">
      <c r="B48" s="882" t="s">
        <v>2451</v>
      </c>
      <c r="C48" s="882">
        <v>4.4000000000000004</v>
      </c>
    </row>
    <row r="49" spans="2:3">
      <c r="B49" s="882" t="s">
        <v>2452</v>
      </c>
      <c r="C49" s="882">
        <v>7.6</v>
      </c>
    </row>
    <row r="50" spans="2:3">
      <c r="B50" s="882" t="s">
        <v>2453</v>
      </c>
      <c r="C50" s="882">
        <v>9.8000000000000007</v>
      </c>
    </row>
    <row r="51" spans="2:3">
      <c r="B51" s="882" t="s">
        <v>2454</v>
      </c>
      <c r="C51" s="882">
        <v>24.8</v>
      </c>
    </row>
    <row r="52" spans="2:3">
      <c r="B52" s="882" t="s">
        <v>2455</v>
      </c>
      <c r="C52" s="882">
        <v>9.8000000000000007</v>
      </c>
    </row>
    <row r="53" spans="2:3">
      <c r="B53" s="882" t="s">
        <v>2456</v>
      </c>
      <c r="C53" s="882">
        <v>28.8</v>
      </c>
    </row>
    <row r="54" spans="2:3">
      <c r="B54" s="882" t="s">
        <v>2457</v>
      </c>
      <c r="C54" s="882">
        <v>2.9</v>
      </c>
    </row>
    <row r="55" spans="2:3">
      <c r="B55" s="882" t="s">
        <v>2458</v>
      </c>
      <c r="C55" s="882">
        <v>2</v>
      </c>
    </row>
    <row r="56" spans="2:3">
      <c r="B56" s="882" t="s">
        <v>2459</v>
      </c>
      <c r="C56" s="882">
        <v>2.8</v>
      </c>
    </row>
    <row r="57" spans="2:3">
      <c r="B57" s="882" t="s">
        <v>2460</v>
      </c>
      <c r="C57" s="882">
        <v>2.7</v>
      </c>
    </row>
    <row r="58" spans="2:3">
      <c r="B58" s="882" t="s">
        <v>2461</v>
      </c>
      <c r="C58" s="882">
        <v>3.1</v>
      </c>
    </row>
    <row r="59" spans="2:3">
      <c r="B59" s="882" t="s">
        <v>2462</v>
      </c>
      <c r="C59" s="882">
        <v>22.4</v>
      </c>
    </row>
    <row r="60" spans="2:3">
      <c r="B60" s="882" t="s">
        <v>662</v>
      </c>
      <c r="C60" s="882">
        <v>19.2</v>
      </c>
    </row>
    <row r="61" spans="2:3">
      <c r="B61" s="882" t="s">
        <v>2463</v>
      </c>
      <c r="C61" s="882">
        <v>9.4</v>
      </c>
    </row>
    <row r="62" spans="2:3">
      <c r="B62" s="882" t="s">
        <v>2464</v>
      </c>
      <c r="C62" s="882">
        <v>1</v>
      </c>
    </row>
    <row r="63" spans="2:3">
      <c r="B63" s="882" t="s">
        <v>2465</v>
      </c>
      <c r="C63" s="882">
        <v>2</v>
      </c>
    </row>
    <row r="64" spans="2:3">
      <c r="B64" s="882" t="s">
        <v>2466</v>
      </c>
      <c r="C64" s="882">
        <v>1.9</v>
      </c>
    </row>
    <row r="67" spans="2:3" s="883" customFormat="1">
      <c r="B67" s="883" t="s">
        <v>2467</v>
      </c>
    </row>
    <row r="69" spans="2:3">
      <c r="B69" s="882" t="s">
        <v>2468</v>
      </c>
      <c r="C69" s="882">
        <v>2614</v>
      </c>
    </row>
    <row r="70" spans="2:3">
      <c r="B70" s="882" t="s">
        <v>2469</v>
      </c>
      <c r="C70" s="882">
        <v>2395</v>
      </c>
    </row>
    <row r="71" spans="2:3">
      <c r="B71" s="882" t="s">
        <v>2470</v>
      </c>
      <c r="C71" s="882">
        <v>1714</v>
      </c>
    </row>
    <row r="72" spans="2:3" ht="33" customHeight="1">
      <c r="B72" s="904" t="s">
        <v>2580</v>
      </c>
      <c r="C72" s="905">
        <v>2905</v>
      </c>
    </row>
    <row r="73" spans="2:3">
      <c r="B73" s="882" t="s">
        <v>2471</v>
      </c>
      <c r="C73" s="882">
        <v>2159</v>
      </c>
    </row>
    <row r="74" spans="2:3">
      <c r="B74" s="882" t="s">
        <v>2472</v>
      </c>
      <c r="C74" s="882">
        <v>1464</v>
      </c>
    </row>
    <row r="75" spans="2:3">
      <c r="B75" s="882" t="s">
        <v>2473</v>
      </c>
      <c r="C75" s="882">
        <v>442</v>
      </c>
    </row>
    <row r="76" spans="2:3">
      <c r="B76" s="882" t="s">
        <v>2474</v>
      </c>
      <c r="C76" s="882">
        <v>768</v>
      </c>
    </row>
    <row r="77" spans="2:3">
      <c r="B77" s="882" t="s">
        <v>386</v>
      </c>
      <c r="C77" s="882">
        <v>939</v>
      </c>
    </row>
    <row r="78" spans="2:3">
      <c r="B78" s="882" t="s">
        <v>355</v>
      </c>
      <c r="C78" s="882">
        <v>53</v>
      </c>
    </row>
    <row r="79" spans="2:3">
      <c r="B79" s="882" t="s">
        <v>2475</v>
      </c>
      <c r="C79" s="882">
        <v>26</v>
      </c>
    </row>
    <row r="80" spans="2:3" ht="28.8">
      <c r="B80" s="904" t="s">
        <v>2581</v>
      </c>
      <c r="C80" s="882">
        <v>414</v>
      </c>
    </row>
    <row r="81" spans="2:3" ht="28.8">
      <c r="B81" s="904" t="s">
        <v>2582</v>
      </c>
      <c r="C81" s="882">
        <v>421</v>
      </c>
    </row>
    <row r="82" spans="2:3">
      <c r="B82" s="882" t="s">
        <v>2476</v>
      </c>
      <c r="C82" s="882">
        <v>145</v>
      </c>
    </row>
    <row r="83" spans="2:3">
      <c r="B83" s="882" t="s">
        <v>2477</v>
      </c>
      <c r="C83" s="882">
        <v>20</v>
      </c>
    </row>
    <row r="84" spans="2:3">
      <c r="B84" s="882" t="s">
        <v>2478</v>
      </c>
      <c r="C84" s="882">
        <v>3</v>
      </c>
    </row>
    <row r="87" spans="2:3" s="883" customFormat="1">
      <c r="B87" s="883" t="s">
        <v>2479</v>
      </c>
    </row>
    <row r="89" spans="2:3">
      <c r="B89" s="882" t="s">
        <v>2480</v>
      </c>
      <c r="C89" s="882">
        <v>11.3</v>
      </c>
    </row>
    <row r="90" spans="2:3">
      <c r="B90" s="882" t="s">
        <v>2481</v>
      </c>
      <c r="C90" s="882">
        <v>31.4</v>
      </c>
    </row>
    <row r="91" spans="2:3">
      <c r="B91" s="882" t="s">
        <v>2482</v>
      </c>
      <c r="C91" s="882">
        <v>6.1</v>
      </c>
    </row>
    <row r="92" spans="2:3">
      <c r="B92" s="882" t="s">
        <v>2483</v>
      </c>
      <c r="C92" s="882">
        <v>6.6</v>
      </c>
    </row>
    <row r="93" spans="2:3">
      <c r="B93" s="882" t="s">
        <v>2484</v>
      </c>
      <c r="C93" s="882">
        <v>6.1</v>
      </c>
    </row>
    <row r="94" spans="2:3">
      <c r="B94" s="882" t="s">
        <v>2485</v>
      </c>
      <c r="C94" s="882">
        <v>6.1</v>
      </c>
    </row>
    <row r="95" spans="2:3">
      <c r="B95" s="882" t="s">
        <v>2486</v>
      </c>
      <c r="C95" s="882">
        <v>3.2</v>
      </c>
    </row>
    <row r="96" spans="2:3">
      <c r="B96" s="882" t="s">
        <v>2487</v>
      </c>
      <c r="C96" s="882">
        <v>17.899999999999999</v>
      </c>
    </row>
    <row r="99" spans="2:3" s="883" customFormat="1">
      <c r="B99" s="883" t="s">
        <v>2488</v>
      </c>
    </row>
    <row r="101" spans="2:3">
      <c r="B101" s="882" t="s">
        <v>2425</v>
      </c>
      <c r="C101" s="882">
        <v>150</v>
      </c>
    </row>
    <row r="102" spans="2:3">
      <c r="B102" s="882" t="s">
        <v>2489</v>
      </c>
      <c r="C102" s="882">
        <v>4500</v>
      </c>
    </row>
    <row r="103" spans="2:3">
      <c r="B103" s="882" t="s">
        <v>2490</v>
      </c>
      <c r="C103" s="882">
        <v>920</v>
      </c>
    </row>
    <row r="104" spans="2:3">
      <c r="B104" s="882" t="s">
        <v>2491</v>
      </c>
      <c r="C104" s="882">
        <v>2400</v>
      </c>
    </row>
    <row r="105" spans="2:3">
      <c r="B105" s="882" t="s">
        <v>2427</v>
      </c>
      <c r="C105" s="882">
        <v>10000</v>
      </c>
    </row>
    <row r="106" spans="2:3">
      <c r="B106" s="882" t="s">
        <v>2431</v>
      </c>
      <c r="C106" s="882">
        <v>4400</v>
      </c>
    </row>
    <row r="107" spans="2:3">
      <c r="B107" s="882" t="s">
        <v>2432</v>
      </c>
      <c r="C107" s="882">
        <v>15000</v>
      </c>
    </row>
    <row r="108" spans="2:3">
      <c r="B108" s="882" t="s">
        <v>2433</v>
      </c>
      <c r="C108" s="882">
        <v>3600</v>
      </c>
    </row>
    <row r="109" spans="2:3">
      <c r="B109" s="882" t="s">
        <v>2492</v>
      </c>
      <c r="C109" s="882">
        <v>1200</v>
      </c>
    </row>
    <row r="110" spans="2:3">
      <c r="B110" s="882" t="s">
        <v>2493</v>
      </c>
      <c r="C110" s="882">
        <v>3200</v>
      </c>
    </row>
    <row r="111" spans="2:3">
      <c r="B111" s="882" t="s">
        <v>2494</v>
      </c>
      <c r="C111" s="882">
        <v>3000</v>
      </c>
    </row>
    <row r="112" spans="2:3">
      <c r="B112" s="882" t="s">
        <v>2495</v>
      </c>
      <c r="C112" s="882">
        <v>10500</v>
      </c>
    </row>
    <row r="113" spans="2:3">
      <c r="B113" s="882" t="s">
        <v>2496</v>
      </c>
      <c r="C113" s="882">
        <v>2200</v>
      </c>
    </row>
    <row r="114" spans="2:3">
      <c r="B114" s="882" t="s">
        <v>2434</v>
      </c>
      <c r="C114" s="882">
        <v>700</v>
      </c>
    </row>
    <row r="115" spans="2:3">
      <c r="B115" s="882" t="s">
        <v>2437</v>
      </c>
      <c r="C115" s="882">
        <v>250</v>
      </c>
    </row>
    <row r="116" spans="2:3">
      <c r="B116" s="882" t="s">
        <v>2438</v>
      </c>
      <c r="C116" s="882">
        <v>210</v>
      </c>
    </row>
    <row r="117" spans="2:3">
      <c r="B117" s="882" t="s">
        <v>2497</v>
      </c>
      <c r="C117" s="882">
        <v>3400</v>
      </c>
    </row>
    <row r="118" spans="2:3">
      <c r="B118" s="882" t="s">
        <v>2498</v>
      </c>
      <c r="C118" s="882">
        <v>220</v>
      </c>
    </row>
    <row r="119" spans="2:3">
      <c r="B119" s="882" t="s">
        <v>2499</v>
      </c>
      <c r="C119" s="882">
        <v>8500</v>
      </c>
    </row>
    <row r="120" spans="2:3">
      <c r="B120" s="882" t="s">
        <v>2500</v>
      </c>
      <c r="C120" s="882">
        <v>4000</v>
      </c>
    </row>
    <row r="121" spans="2:3">
      <c r="B121" s="882" t="s">
        <v>2501</v>
      </c>
      <c r="C121" s="882" t="s">
        <v>2502</v>
      </c>
    </row>
  </sheetData>
  <hyperlinks>
    <hyperlink ref="H19" location="'Ark1'!B19" display="Skjult vandforbrug" xr:uid="{00000000-0004-0000-1B00-000000000000}"/>
    <hyperlink ref="H20" location="'Ark1'!B41" display="Det skjulte ressourceforbrug for fødevarer" xr:uid="{00000000-0004-0000-1B00-000001000000}"/>
    <hyperlink ref="H21" location="Skjult_forbrug!B67" display="Det skjulte ressourceforbrug for forskellige varer i hjemmet" xr:uid="{00000000-0004-0000-1B00-000002000000}"/>
    <hyperlink ref="H22" location="Skjult_forbrug!B89" display="Det skjulte ressourceforbrug for tekstiler" xr:uid="{00000000-0004-0000-1B00-000003000000}"/>
    <hyperlink ref="H23" location="Skjult_forbrug!B101" display="Udledningen af drivhusgasser fra produktion af forskellige produkter" xr:uid="{00000000-0004-0000-1B00-000004000000}"/>
    <hyperlink ref="A1" location="'About og Fane-Link'!A1" display="Til Forsiden" xr:uid="{00000000-0004-0000-1B00-00000500000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B474"/>
  <sheetViews>
    <sheetView topLeftCell="A310" workbookViewId="0"/>
  </sheetViews>
  <sheetFormatPr defaultColWidth="9.109375" defaultRowHeight="13.2"/>
  <cols>
    <col min="1" max="1" width="3.109375" style="247" customWidth="1"/>
    <col min="2" max="2" width="12.44140625" style="501" customWidth="1"/>
    <col min="3" max="3" width="36.33203125" style="247" customWidth="1"/>
    <col min="4" max="4" width="15.6640625" style="247" customWidth="1"/>
    <col min="5" max="8" width="14.5546875" style="247" customWidth="1"/>
    <col min="9" max="9" width="14.88671875" style="247" customWidth="1"/>
    <col min="10" max="12" width="14.5546875" style="247" customWidth="1"/>
    <col min="13" max="13" width="9" style="247" bestFit="1" customWidth="1"/>
    <col min="14" max="14" width="12.33203125" style="247" customWidth="1"/>
    <col min="15" max="18" width="15.6640625" style="247" customWidth="1"/>
    <col min="19" max="19" width="3.109375" style="247" customWidth="1"/>
    <col min="20" max="16384" width="9.109375" style="247"/>
  </cols>
  <sheetData>
    <row r="1" spans="1:28" ht="12.9" customHeight="1">
      <c r="A1" s="44" t="s">
        <v>2527</v>
      </c>
      <c r="B1" s="246"/>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row>
    <row r="2" spans="1:28" ht="21" customHeight="1">
      <c r="A2" s="245"/>
      <c r="B2" s="1017" t="s">
        <v>1381</v>
      </c>
      <c r="C2" s="1018"/>
      <c r="D2" s="1018"/>
      <c r="E2" s="1018"/>
      <c r="F2" s="1018"/>
      <c r="G2" s="1018"/>
      <c r="H2" s="1018"/>
      <c r="I2" s="1018"/>
      <c r="J2" s="1018"/>
      <c r="K2" s="1018"/>
      <c r="L2" s="1019"/>
      <c r="M2" s="245"/>
      <c r="N2" s="245"/>
      <c r="O2" s="245"/>
      <c r="P2" s="245"/>
      <c r="Q2" s="245"/>
      <c r="R2" s="245"/>
      <c r="S2" s="245"/>
      <c r="T2" s="245"/>
      <c r="U2" s="245"/>
      <c r="V2" s="245"/>
      <c r="W2" s="245"/>
      <c r="X2" s="245"/>
      <c r="Y2" s="245"/>
      <c r="Z2" s="245"/>
      <c r="AA2" s="245"/>
      <c r="AB2" s="245"/>
    </row>
    <row r="3" spans="1:28" ht="15.9" customHeight="1">
      <c r="A3" s="245"/>
      <c r="B3" s="246"/>
      <c r="C3" s="245"/>
      <c r="D3" s="245"/>
      <c r="E3" s="245"/>
      <c r="F3" s="248" t="s">
        <v>1382</v>
      </c>
      <c r="G3" s="248"/>
      <c r="H3" s="245"/>
      <c r="I3" s="245"/>
      <c r="J3" s="245"/>
      <c r="K3" s="245"/>
      <c r="L3" s="245"/>
      <c r="M3" s="245"/>
      <c r="N3" s="245"/>
      <c r="O3" s="245"/>
      <c r="P3" s="245"/>
      <c r="Q3" s="245"/>
      <c r="R3" s="245"/>
      <c r="S3" s="245"/>
      <c r="T3" s="245"/>
      <c r="U3" s="245"/>
      <c r="V3" s="245"/>
      <c r="W3" s="245"/>
      <c r="X3" s="245"/>
      <c r="Y3" s="245"/>
      <c r="Z3" s="245"/>
      <c r="AA3" s="245"/>
      <c r="AB3" s="245"/>
    </row>
    <row r="4" spans="1:28" ht="15.9" customHeight="1">
      <c r="A4" s="245"/>
      <c r="B4" s="246"/>
      <c r="C4" s="245"/>
      <c r="D4" s="245"/>
      <c r="E4" s="245"/>
      <c r="F4" s="248"/>
      <c r="G4" s="248"/>
      <c r="H4" s="245"/>
      <c r="I4" s="245"/>
      <c r="J4" s="245"/>
      <c r="K4" s="245"/>
      <c r="L4" s="245"/>
      <c r="M4" s="245"/>
      <c r="N4" s="245"/>
      <c r="O4" s="245"/>
      <c r="P4" s="245"/>
      <c r="Q4" s="245"/>
      <c r="R4" s="245"/>
      <c r="S4" s="245"/>
      <c r="T4" s="245"/>
      <c r="U4" s="245"/>
      <c r="V4" s="245"/>
      <c r="W4" s="245"/>
      <c r="X4" s="245"/>
      <c r="Y4" s="245"/>
      <c r="Z4" s="245"/>
      <c r="AA4" s="245"/>
      <c r="AB4" s="245"/>
    </row>
    <row r="5" spans="1:28" ht="12.9" customHeight="1">
      <c r="A5" s="245"/>
      <c r="B5" s="1020"/>
      <c r="C5" s="1020"/>
      <c r="D5" s="1020"/>
      <c r="E5" s="1020"/>
      <c r="F5" s="1020"/>
      <c r="G5" s="1020"/>
      <c r="H5" s="1020"/>
      <c r="I5" s="1020"/>
      <c r="J5" s="1020"/>
      <c r="K5" s="1020"/>
      <c r="L5" s="1020"/>
      <c r="M5" s="245"/>
      <c r="N5" s="245"/>
      <c r="O5" s="245"/>
      <c r="P5" s="245"/>
      <c r="Q5" s="245"/>
      <c r="R5" s="245"/>
      <c r="S5" s="245"/>
      <c r="T5" s="245"/>
      <c r="U5" s="245"/>
      <c r="V5" s="245"/>
      <c r="W5" s="245"/>
      <c r="X5" s="245"/>
      <c r="Y5" s="245"/>
      <c r="Z5" s="245"/>
      <c r="AA5" s="245"/>
      <c r="AB5" s="245"/>
    </row>
    <row r="6" spans="1:28" ht="12.9" customHeight="1">
      <c r="A6" s="245"/>
      <c r="B6" s="246"/>
      <c r="C6" s="245"/>
      <c r="D6" s="245"/>
      <c r="E6" s="245"/>
      <c r="F6" s="245"/>
      <c r="G6" s="249"/>
      <c r="H6" s="245"/>
      <c r="I6" s="245"/>
      <c r="J6" s="245"/>
      <c r="K6" s="245"/>
      <c r="L6" s="245"/>
      <c r="M6" s="245"/>
      <c r="N6" s="245"/>
      <c r="O6" s="245"/>
      <c r="P6" s="245"/>
      <c r="Q6" s="245"/>
      <c r="R6" s="245"/>
      <c r="S6" s="245"/>
      <c r="T6" s="245"/>
      <c r="U6" s="245"/>
      <c r="V6" s="245"/>
      <c r="W6" s="245"/>
      <c r="X6" s="245"/>
      <c r="Y6" s="245"/>
      <c r="Z6" s="245"/>
      <c r="AA6" s="245"/>
      <c r="AB6" s="245"/>
    </row>
    <row r="7" spans="1:28" ht="32.25" customHeight="1">
      <c r="A7" s="245"/>
      <c r="B7" s="246"/>
      <c r="C7" s="1021" t="s">
        <v>1383</v>
      </c>
      <c r="D7" s="1021"/>
      <c r="E7" s="1021"/>
      <c r="F7" s="1021"/>
      <c r="G7" s="1021"/>
      <c r="H7" s="1021"/>
      <c r="I7" s="1021"/>
      <c r="J7" s="1021"/>
      <c r="K7" s="1021"/>
      <c r="L7" s="1021"/>
      <c r="M7" s="245"/>
      <c r="N7" s="245"/>
      <c r="O7" s="245"/>
      <c r="P7" s="245"/>
      <c r="Q7" s="245"/>
      <c r="R7" s="245"/>
      <c r="S7" s="245"/>
      <c r="T7" s="245"/>
      <c r="U7" s="245"/>
      <c r="V7" s="245"/>
      <c r="W7" s="245"/>
      <c r="X7" s="245"/>
      <c r="Y7" s="245"/>
      <c r="Z7" s="245"/>
      <c r="AA7" s="245"/>
      <c r="AB7" s="245"/>
    </row>
    <row r="8" spans="1:28" ht="13.8" thickBot="1">
      <c r="A8" s="245"/>
      <c r="B8" s="246"/>
      <c r="C8" s="250"/>
      <c r="D8" s="250"/>
      <c r="E8" s="250"/>
      <c r="F8" s="250"/>
      <c r="G8" s="250"/>
      <c r="H8" s="250"/>
      <c r="I8" s="250"/>
      <c r="J8" s="250"/>
      <c r="K8" s="250"/>
      <c r="L8" s="250"/>
      <c r="M8" s="245"/>
      <c r="N8" s="245"/>
      <c r="O8" s="245"/>
      <c r="P8" s="245"/>
      <c r="Q8" s="245"/>
      <c r="R8" s="245"/>
      <c r="S8" s="245"/>
      <c r="T8" s="245"/>
      <c r="U8" s="245"/>
      <c r="V8" s="245"/>
      <c r="W8" s="245"/>
      <c r="X8" s="245"/>
      <c r="Y8" s="245"/>
      <c r="Z8" s="245"/>
      <c r="AA8" s="245"/>
      <c r="AB8" s="245"/>
    </row>
    <row r="9" spans="1:28" ht="13.8" thickBot="1">
      <c r="A9" s="245"/>
      <c r="B9" s="246"/>
      <c r="C9" s="245"/>
      <c r="D9" s="251" t="s">
        <v>1384</v>
      </c>
      <c r="E9" s="252" t="s">
        <v>1385</v>
      </c>
      <c r="F9" s="250"/>
      <c r="G9" s="250"/>
      <c r="H9" s="250"/>
      <c r="I9" s="250"/>
      <c r="J9" s="250"/>
      <c r="K9" s="250"/>
      <c r="L9" s="250"/>
      <c r="M9" s="245"/>
      <c r="N9" s="245"/>
      <c r="O9" s="245"/>
      <c r="P9" s="245"/>
      <c r="Q9" s="245"/>
      <c r="R9" s="245"/>
      <c r="S9" s="245"/>
      <c r="T9" s="245"/>
      <c r="U9" s="245"/>
      <c r="V9" s="245"/>
      <c r="W9" s="245"/>
      <c r="X9" s="245"/>
      <c r="Y9" s="245"/>
      <c r="Z9" s="245"/>
      <c r="AA9" s="245"/>
      <c r="AB9" s="245"/>
    </row>
    <row r="10" spans="1:28" ht="18" customHeight="1">
      <c r="A10" s="245"/>
      <c r="B10" s="246"/>
      <c r="C10" s="245"/>
      <c r="D10" s="253" t="s">
        <v>1386</v>
      </c>
      <c r="E10" s="254">
        <v>21</v>
      </c>
      <c r="F10" s="245"/>
      <c r="G10" s="245"/>
      <c r="H10" s="245"/>
      <c r="I10" s="245"/>
      <c r="J10" s="245"/>
      <c r="K10" s="245"/>
      <c r="L10" s="245"/>
      <c r="M10" s="245"/>
      <c r="N10" s="245"/>
      <c r="O10" s="245"/>
      <c r="P10" s="245"/>
      <c r="Q10" s="255"/>
      <c r="R10" s="245"/>
      <c r="S10" s="245"/>
      <c r="T10" s="245"/>
      <c r="U10" s="245"/>
      <c r="V10" s="245"/>
      <c r="W10" s="245"/>
      <c r="X10" s="245"/>
      <c r="Y10" s="245"/>
      <c r="Z10" s="245"/>
      <c r="AA10" s="245"/>
      <c r="AB10" s="245"/>
    </row>
    <row r="11" spans="1:28" ht="16.5" customHeight="1" thickBot="1">
      <c r="A11" s="245"/>
      <c r="B11" s="246"/>
      <c r="C11" s="245"/>
      <c r="D11" s="256" t="s">
        <v>1387</v>
      </c>
      <c r="E11" s="257">
        <v>310</v>
      </c>
      <c r="F11" s="245"/>
      <c r="G11" s="245"/>
      <c r="H11" s="245"/>
      <c r="I11" s="245"/>
      <c r="J11" s="245"/>
      <c r="K11" s="245"/>
      <c r="L11" s="245"/>
      <c r="M11" s="245"/>
      <c r="N11" s="245"/>
      <c r="O11" s="245"/>
      <c r="P11" s="258"/>
      <c r="Q11" s="258"/>
      <c r="R11" s="245"/>
      <c r="S11" s="245"/>
      <c r="T11" s="245"/>
      <c r="U11" s="245"/>
      <c r="V11" s="245"/>
      <c r="W11" s="245"/>
      <c r="X11" s="245"/>
      <c r="Y11" s="245"/>
      <c r="Z11" s="245"/>
      <c r="AA11" s="245"/>
      <c r="AB11" s="245"/>
    </row>
    <row r="12" spans="1:28" ht="36.75" customHeight="1">
      <c r="A12" s="245"/>
      <c r="B12" s="246"/>
      <c r="C12" s="245"/>
      <c r="D12" s="1022" t="s">
        <v>1388</v>
      </c>
      <c r="E12" s="1022"/>
      <c r="F12" s="1022"/>
      <c r="G12" s="1022"/>
      <c r="H12" s="1022"/>
      <c r="I12" s="245"/>
      <c r="J12" s="245"/>
      <c r="K12" s="245"/>
      <c r="L12" s="245"/>
      <c r="M12" s="245"/>
      <c r="N12" s="245"/>
      <c r="O12" s="245"/>
      <c r="P12" s="258"/>
      <c r="Q12" s="258"/>
      <c r="R12" s="245"/>
      <c r="S12" s="245"/>
      <c r="T12" s="245"/>
      <c r="U12" s="245"/>
      <c r="V12" s="245"/>
      <c r="W12" s="245"/>
      <c r="X12" s="245"/>
      <c r="Y12" s="245"/>
      <c r="Z12" s="245"/>
      <c r="AA12" s="245"/>
      <c r="AB12" s="245"/>
    </row>
    <row r="13" spans="1:28" ht="12.9" customHeight="1">
      <c r="A13" s="245"/>
      <c r="B13" s="246"/>
      <c r="C13" s="245"/>
      <c r="D13" s="245"/>
      <c r="E13" s="245"/>
      <c r="F13" s="245"/>
      <c r="G13" s="245"/>
      <c r="H13" s="245"/>
      <c r="I13" s="245"/>
      <c r="J13" s="245"/>
      <c r="K13" s="245"/>
      <c r="L13" s="245"/>
      <c r="M13" s="245"/>
      <c r="N13" s="245"/>
      <c r="O13" s="245"/>
      <c r="P13" s="258"/>
      <c r="Q13" s="258"/>
      <c r="R13" s="245"/>
      <c r="S13" s="245"/>
      <c r="T13" s="245"/>
      <c r="U13" s="245"/>
      <c r="V13" s="245"/>
      <c r="W13" s="245"/>
      <c r="X13" s="245"/>
      <c r="Y13" s="245"/>
      <c r="Z13" s="245"/>
      <c r="AA13" s="245"/>
      <c r="AB13" s="245"/>
    </row>
    <row r="14" spans="1:28" ht="12.9" customHeight="1">
      <c r="A14" s="245"/>
      <c r="B14" s="246"/>
      <c r="C14" s="245"/>
      <c r="D14" s="245"/>
      <c r="E14" s="245"/>
      <c r="F14" s="245"/>
      <c r="G14" s="245"/>
      <c r="H14" s="245"/>
      <c r="I14" s="245"/>
      <c r="J14" s="245"/>
      <c r="K14" s="245"/>
      <c r="L14" s="245"/>
      <c r="M14" s="245"/>
      <c r="N14" s="245"/>
      <c r="O14" s="245"/>
      <c r="P14" s="258"/>
      <c r="Q14" s="258"/>
      <c r="R14" s="245"/>
      <c r="S14" s="245"/>
      <c r="T14" s="245"/>
      <c r="U14" s="245"/>
      <c r="V14" s="245"/>
      <c r="W14" s="245"/>
      <c r="X14" s="245"/>
      <c r="Y14" s="245"/>
      <c r="Z14" s="245"/>
      <c r="AA14" s="245"/>
      <c r="AB14" s="245"/>
    </row>
    <row r="15" spans="1:28" s="266" customFormat="1" ht="18" customHeight="1">
      <c r="A15" s="259"/>
      <c r="B15" s="260" t="s">
        <v>1389</v>
      </c>
      <c r="C15" s="261" t="s">
        <v>1390</v>
      </c>
      <c r="D15" s="262"/>
      <c r="E15" s="262"/>
      <c r="F15" s="263"/>
      <c r="G15" s="263"/>
      <c r="H15" s="263"/>
      <c r="I15" s="263"/>
      <c r="J15" s="263"/>
      <c r="K15" s="263"/>
      <c r="L15" s="264"/>
      <c r="M15" s="259"/>
      <c r="N15" s="259"/>
      <c r="O15" s="259"/>
      <c r="P15" s="265"/>
      <c r="Q15" s="265"/>
      <c r="R15" s="259"/>
      <c r="S15" s="259"/>
      <c r="T15" s="259"/>
      <c r="U15" s="259"/>
      <c r="V15" s="259"/>
      <c r="W15" s="259"/>
      <c r="X15" s="259"/>
      <c r="Y15" s="259"/>
      <c r="Z15" s="259"/>
      <c r="AA15" s="259"/>
      <c r="AB15" s="259"/>
    </row>
    <row r="16" spans="1:28" ht="14.1" customHeight="1" thickBot="1">
      <c r="A16" s="245"/>
      <c r="B16" s="246"/>
      <c r="C16" s="245"/>
      <c r="D16" s="245"/>
      <c r="E16" s="245"/>
      <c r="F16" s="245"/>
      <c r="G16" s="245"/>
      <c r="H16" s="245"/>
      <c r="I16" s="245"/>
      <c r="J16" s="245"/>
      <c r="K16" s="245"/>
      <c r="L16" s="245"/>
      <c r="M16" s="245"/>
      <c r="N16" s="245"/>
      <c r="O16" s="267"/>
      <c r="P16" s="267"/>
      <c r="Q16" s="267"/>
      <c r="R16" s="267"/>
      <c r="S16" s="267"/>
      <c r="T16" s="267"/>
      <c r="U16" s="245"/>
      <c r="V16" s="245"/>
      <c r="W16" s="245"/>
      <c r="X16" s="245"/>
      <c r="Y16" s="245"/>
      <c r="Z16" s="245"/>
      <c r="AA16" s="245"/>
      <c r="AB16" s="245"/>
    </row>
    <row r="17" spans="1:28" s="272" customFormat="1" ht="15.6">
      <c r="A17" s="268"/>
      <c r="B17" s="268"/>
      <c r="C17" s="269" t="s">
        <v>1391</v>
      </c>
      <c r="D17" s="270" t="s">
        <v>1392</v>
      </c>
      <c r="E17" s="270" t="s">
        <v>1393</v>
      </c>
      <c r="F17" s="270" t="s">
        <v>1394</v>
      </c>
      <c r="G17" s="270" t="s">
        <v>1395</v>
      </c>
      <c r="H17" s="270" t="s">
        <v>1393</v>
      </c>
      <c r="I17" s="270" t="s">
        <v>1394</v>
      </c>
      <c r="J17" s="270" t="s">
        <v>1395</v>
      </c>
      <c r="K17" s="271" t="s">
        <v>788</v>
      </c>
      <c r="L17" s="268"/>
      <c r="M17" s="268"/>
      <c r="N17" s="268"/>
      <c r="O17" s="267"/>
      <c r="P17" s="267"/>
      <c r="Q17" s="267"/>
      <c r="R17" s="267"/>
      <c r="S17" s="267"/>
      <c r="T17" s="267"/>
      <c r="U17" s="268"/>
      <c r="V17" s="268"/>
      <c r="W17" s="268"/>
      <c r="X17" s="268"/>
      <c r="Y17" s="268"/>
      <c r="Z17" s="268"/>
      <c r="AA17" s="268"/>
      <c r="AB17" s="268"/>
    </row>
    <row r="18" spans="1:28" s="277" customFormat="1" ht="26.25" customHeight="1">
      <c r="A18" s="273"/>
      <c r="B18" s="273"/>
      <c r="C18" s="274"/>
      <c r="D18" s="275" t="s">
        <v>1396</v>
      </c>
      <c r="E18" s="275" t="s">
        <v>1397</v>
      </c>
      <c r="F18" s="275" t="s">
        <v>1398</v>
      </c>
      <c r="G18" s="275" t="s">
        <v>1399</v>
      </c>
      <c r="H18" s="275" t="s">
        <v>1400</v>
      </c>
      <c r="I18" s="275" t="s">
        <v>1401</v>
      </c>
      <c r="J18" s="275" t="s">
        <v>1402</v>
      </c>
      <c r="K18" s="276"/>
      <c r="L18" s="273"/>
      <c r="M18" s="273"/>
      <c r="N18" s="273"/>
      <c r="O18" s="267"/>
      <c r="P18" s="267"/>
      <c r="Q18" s="267"/>
      <c r="R18" s="267"/>
      <c r="S18" s="267"/>
      <c r="T18" s="267"/>
      <c r="U18" s="273"/>
      <c r="V18" s="273"/>
      <c r="W18" s="273"/>
      <c r="X18" s="273"/>
      <c r="Y18" s="273"/>
      <c r="Z18" s="273"/>
      <c r="AA18" s="273"/>
      <c r="AB18" s="273"/>
    </row>
    <row r="19" spans="1:28" s="280" customFormat="1" ht="14.1" customHeight="1">
      <c r="A19" s="245"/>
      <c r="B19" s="246"/>
      <c r="C19" s="278" t="s">
        <v>1403</v>
      </c>
      <c r="D19" s="279"/>
      <c r="E19" s="279"/>
      <c r="F19" s="279"/>
      <c r="G19" s="279"/>
      <c r="H19" s="279"/>
      <c r="I19" s="279"/>
      <c r="J19" s="279"/>
      <c r="K19" s="276"/>
      <c r="L19" s="245"/>
      <c r="M19" s="245"/>
      <c r="N19" s="245"/>
      <c r="O19" s="267"/>
      <c r="P19" s="267"/>
      <c r="Q19" s="267"/>
      <c r="R19" s="267"/>
      <c r="S19" s="267"/>
      <c r="T19" s="267"/>
      <c r="U19" s="245"/>
      <c r="V19" s="245"/>
      <c r="W19" s="268"/>
      <c r="X19" s="268"/>
      <c r="Y19" s="268"/>
      <c r="Z19" s="268"/>
      <c r="AA19" s="268"/>
      <c r="AB19" s="245"/>
    </row>
    <row r="20" spans="1:28" ht="14.1" customHeight="1">
      <c r="A20" s="245"/>
      <c r="B20" s="258"/>
      <c r="C20" s="281" t="s">
        <v>1404</v>
      </c>
      <c r="D20" s="282">
        <v>25.09</v>
      </c>
      <c r="E20" s="283">
        <v>103.54</v>
      </c>
      <c r="F20" s="284">
        <v>11</v>
      </c>
      <c r="G20" s="285">
        <v>1.6</v>
      </c>
      <c r="H20" s="284">
        <v>2598</v>
      </c>
      <c r="I20" s="286">
        <v>276</v>
      </c>
      <c r="J20" s="286">
        <v>40</v>
      </c>
      <c r="K20" s="287" t="s">
        <v>1405</v>
      </c>
      <c r="L20" s="245"/>
      <c r="M20" s="288"/>
      <c r="N20" s="288"/>
      <c r="O20" s="267"/>
      <c r="P20" s="267"/>
      <c r="Q20" s="267"/>
      <c r="R20" s="267"/>
      <c r="S20" s="245"/>
      <c r="T20" s="289"/>
      <c r="U20" s="245"/>
      <c r="V20" s="245"/>
      <c r="W20" s="268"/>
      <c r="X20" s="268"/>
      <c r="Y20" s="268"/>
      <c r="Z20" s="268"/>
      <c r="AA20" s="268"/>
      <c r="AB20" s="245"/>
    </row>
    <row r="21" spans="1:28" ht="14.1" customHeight="1">
      <c r="A21" s="245"/>
      <c r="B21" s="258"/>
      <c r="C21" s="281" t="s">
        <v>1406</v>
      </c>
      <c r="D21" s="282">
        <v>24.93</v>
      </c>
      <c r="E21" s="283">
        <v>93.4</v>
      </c>
      <c r="F21" s="284">
        <v>11</v>
      </c>
      <c r="G21" s="285">
        <v>1.6</v>
      </c>
      <c r="H21" s="284">
        <v>2328</v>
      </c>
      <c r="I21" s="286">
        <v>274</v>
      </c>
      <c r="J21" s="286">
        <v>40</v>
      </c>
      <c r="K21" s="287" t="s">
        <v>1405</v>
      </c>
      <c r="L21" s="245"/>
      <c r="M21" s="288"/>
      <c r="N21" s="288"/>
      <c r="O21" s="267"/>
      <c r="P21" s="267"/>
      <c r="Q21" s="267"/>
      <c r="R21" s="267"/>
      <c r="S21" s="245"/>
      <c r="T21" s="289"/>
      <c r="U21" s="245"/>
      <c r="V21" s="245"/>
      <c r="W21" s="268"/>
      <c r="X21" s="268"/>
      <c r="Y21" s="268"/>
      <c r="Z21" s="268"/>
      <c r="AA21" s="268"/>
      <c r="AB21" s="245"/>
    </row>
    <row r="22" spans="1:28" ht="14.1" customHeight="1">
      <c r="A22" s="245"/>
      <c r="B22" s="258"/>
      <c r="C22" s="281" t="s">
        <v>1407</v>
      </c>
      <c r="D22" s="282">
        <v>17.25</v>
      </c>
      <c r="E22" s="283">
        <v>97.02</v>
      </c>
      <c r="F22" s="284">
        <v>11</v>
      </c>
      <c r="G22" s="285">
        <v>1.6</v>
      </c>
      <c r="H22" s="284">
        <v>1674</v>
      </c>
      <c r="I22" s="286">
        <v>190</v>
      </c>
      <c r="J22" s="286">
        <v>28</v>
      </c>
      <c r="K22" s="287" t="s">
        <v>1405</v>
      </c>
      <c r="L22" s="245"/>
      <c r="M22" s="288"/>
      <c r="N22" s="288"/>
      <c r="O22" s="267"/>
      <c r="P22" s="267"/>
      <c r="Q22" s="267"/>
      <c r="R22" s="267"/>
      <c r="S22" s="245"/>
      <c r="T22" s="289"/>
      <c r="U22" s="245"/>
      <c r="V22" s="245"/>
      <c r="W22" s="268"/>
      <c r="X22" s="268"/>
      <c r="Y22" s="268"/>
      <c r="Z22" s="268"/>
      <c r="AA22" s="268"/>
      <c r="AB22" s="245"/>
    </row>
    <row r="23" spans="1:28" ht="14.1" customHeight="1">
      <c r="A23" s="245"/>
      <c r="B23" s="258"/>
      <c r="C23" s="281" t="s">
        <v>1408</v>
      </c>
      <c r="D23" s="282">
        <v>14.21</v>
      </c>
      <c r="E23" s="283">
        <v>96.36</v>
      </c>
      <c r="F23" s="284">
        <v>11</v>
      </c>
      <c r="G23" s="285">
        <v>1.6</v>
      </c>
      <c r="H23" s="284">
        <v>1369</v>
      </c>
      <c r="I23" s="286">
        <v>156</v>
      </c>
      <c r="J23" s="286">
        <v>23</v>
      </c>
      <c r="K23" s="287" t="s">
        <v>1405</v>
      </c>
      <c r="L23" s="245"/>
      <c r="M23" s="288"/>
      <c r="N23" s="288"/>
      <c r="O23" s="267"/>
      <c r="P23" s="267"/>
      <c r="Q23" s="267"/>
      <c r="R23" s="267"/>
      <c r="S23" s="245"/>
      <c r="T23" s="289"/>
      <c r="U23" s="245"/>
      <c r="V23" s="245"/>
      <c r="W23" s="268"/>
      <c r="X23" s="268"/>
      <c r="Y23" s="268"/>
      <c r="Z23" s="268"/>
      <c r="AA23" s="268"/>
      <c r="AB23" s="245"/>
    </row>
    <row r="24" spans="1:28" ht="14.1" customHeight="1">
      <c r="A24" s="245"/>
      <c r="B24" s="258"/>
      <c r="C24" s="290" t="s">
        <v>1409</v>
      </c>
      <c r="D24" s="282">
        <v>21.39</v>
      </c>
      <c r="E24" s="282">
        <v>95.26</v>
      </c>
      <c r="F24" s="284">
        <v>11</v>
      </c>
      <c r="G24" s="285">
        <v>1.6</v>
      </c>
      <c r="H24" s="284">
        <v>2038</v>
      </c>
      <c r="I24" s="286">
        <v>235</v>
      </c>
      <c r="J24" s="286">
        <v>34</v>
      </c>
      <c r="K24" s="287" t="s">
        <v>1405</v>
      </c>
      <c r="L24" s="245"/>
      <c r="M24" s="288"/>
      <c r="N24" s="288"/>
      <c r="O24" s="267"/>
      <c r="P24" s="267"/>
      <c r="Q24" s="267"/>
      <c r="R24" s="267"/>
      <c r="S24" s="245"/>
      <c r="T24" s="289"/>
      <c r="U24" s="245"/>
      <c r="V24" s="245"/>
      <c r="W24" s="268"/>
      <c r="X24" s="268"/>
      <c r="Y24" s="268"/>
      <c r="Z24" s="268"/>
      <c r="AA24" s="268"/>
      <c r="AB24" s="245"/>
    </row>
    <row r="25" spans="1:28" ht="14.1" customHeight="1">
      <c r="A25" s="245"/>
      <c r="B25" s="258"/>
      <c r="C25" s="290" t="s">
        <v>1410</v>
      </c>
      <c r="D25" s="282">
        <v>19.73</v>
      </c>
      <c r="E25" s="282">
        <v>94.38</v>
      </c>
      <c r="F25" s="284">
        <v>11</v>
      </c>
      <c r="G25" s="285">
        <v>1.6</v>
      </c>
      <c r="H25" s="284">
        <v>1862</v>
      </c>
      <c r="I25" s="286">
        <v>217</v>
      </c>
      <c r="J25" s="286">
        <v>32</v>
      </c>
      <c r="K25" s="287" t="s">
        <v>1405</v>
      </c>
      <c r="L25" s="245"/>
      <c r="M25" s="288"/>
      <c r="N25" s="288"/>
      <c r="O25" s="267"/>
      <c r="P25" s="267"/>
      <c r="Q25" s="267"/>
      <c r="R25" s="267"/>
      <c r="S25" s="245"/>
      <c r="T25" s="289"/>
      <c r="U25" s="245"/>
      <c r="V25" s="245"/>
      <c r="W25" s="268"/>
      <c r="X25" s="268"/>
      <c r="Y25" s="268"/>
      <c r="Z25" s="268"/>
      <c r="AA25" s="268"/>
      <c r="AB25" s="245"/>
    </row>
    <row r="26" spans="1:28" ht="14.1" customHeight="1">
      <c r="A26" s="245"/>
      <c r="B26" s="258"/>
      <c r="C26" s="290" t="s">
        <v>1411</v>
      </c>
      <c r="D26" s="282">
        <v>26.28</v>
      </c>
      <c r="E26" s="282">
        <v>93.65</v>
      </c>
      <c r="F26" s="284">
        <v>11</v>
      </c>
      <c r="G26" s="285">
        <v>1.6</v>
      </c>
      <c r="H26" s="284">
        <v>2461</v>
      </c>
      <c r="I26" s="286">
        <v>289</v>
      </c>
      <c r="J26" s="286">
        <v>42</v>
      </c>
      <c r="K26" s="287" t="s">
        <v>1405</v>
      </c>
      <c r="L26" s="245"/>
      <c r="M26" s="288"/>
      <c r="N26" s="288"/>
      <c r="O26" s="267"/>
      <c r="P26" s="267"/>
      <c r="Q26" s="267"/>
      <c r="R26" s="267"/>
      <c r="S26" s="245"/>
      <c r="T26" s="289"/>
      <c r="U26" s="245"/>
      <c r="V26" s="245"/>
      <c r="W26" s="268"/>
      <c r="X26" s="268"/>
      <c r="Y26" s="268"/>
      <c r="Z26" s="268"/>
      <c r="AA26" s="268"/>
      <c r="AB26" s="245"/>
    </row>
    <row r="27" spans="1:28" ht="14.1" customHeight="1">
      <c r="A27" s="245"/>
      <c r="B27" s="258"/>
      <c r="C27" s="290" t="s">
        <v>1412</v>
      </c>
      <c r="D27" s="282">
        <v>22.35</v>
      </c>
      <c r="E27" s="282">
        <v>93.91</v>
      </c>
      <c r="F27" s="284">
        <v>11</v>
      </c>
      <c r="G27" s="285">
        <v>1.6</v>
      </c>
      <c r="H27" s="284">
        <v>2099</v>
      </c>
      <c r="I27" s="286">
        <v>246</v>
      </c>
      <c r="J27" s="286">
        <v>36</v>
      </c>
      <c r="K27" s="287" t="s">
        <v>1405</v>
      </c>
      <c r="L27" s="245"/>
      <c r="M27" s="288"/>
      <c r="N27" s="288"/>
      <c r="O27" s="267"/>
      <c r="P27" s="267"/>
      <c r="Q27" s="267"/>
      <c r="R27" s="267"/>
      <c r="S27" s="245"/>
      <c r="T27" s="289"/>
      <c r="U27" s="245"/>
      <c r="V27" s="245"/>
      <c r="W27" s="245"/>
      <c r="X27" s="245"/>
      <c r="Y27" s="245"/>
      <c r="Z27" s="245"/>
      <c r="AA27" s="245"/>
      <c r="AB27" s="245"/>
    </row>
    <row r="28" spans="1:28" ht="14.1" customHeight="1">
      <c r="A28" s="245"/>
      <c r="B28" s="258"/>
      <c r="C28" s="281" t="s">
        <v>1413</v>
      </c>
      <c r="D28" s="282">
        <v>24.8</v>
      </c>
      <c r="E28" s="282">
        <v>102.04</v>
      </c>
      <c r="F28" s="284">
        <v>11</v>
      </c>
      <c r="G28" s="285">
        <v>1.6</v>
      </c>
      <c r="H28" s="284">
        <v>2531</v>
      </c>
      <c r="I28" s="286">
        <v>273</v>
      </c>
      <c r="J28" s="286">
        <v>40</v>
      </c>
      <c r="K28" s="287" t="s">
        <v>1405</v>
      </c>
      <c r="L28" s="245"/>
      <c r="M28" s="288"/>
      <c r="N28" s="288"/>
      <c r="O28" s="267"/>
      <c r="P28" s="267"/>
      <c r="Q28" s="267"/>
      <c r="R28" s="267"/>
      <c r="S28" s="245"/>
      <c r="T28" s="289"/>
      <c r="U28" s="245"/>
      <c r="V28" s="245"/>
      <c r="W28" s="245"/>
      <c r="X28" s="245"/>
      <c r="Y28" s="245"/>
      <c r="Z28" s="245"/>
      <c r="AA28" s="245"/>
      <c r="AB28" s="245"/>
    </row>
    <row r="29" spans="1:28" ht="14.1" customHeight="1">
      <c r="A29" s="245"/>
      <c r="B29" s="246"/>
      <c r="C29" s="291" t="s">
        <v>1414</v>
      </c>
      <c r="D29" s="292"/>
      <c r="E29" s="292"/>
      <c r="F29" s="293"/>
      <c r="G29" s="294"/>
      <c r="H29" s="293"/>
      <c r="I29" s="293"/>
      <c r="J29" s="293"/>
      <c r="K29" s="295"/>
      <c r="L29" s="245"/>
      <c r="M29" s="288"/>
      <c r="N29" s="288"/>
      <c r="O29" s="267"/>
      <c r="P29" s="267"/>
      <c r="Q29" s="267"/>
      <c r="R29" s="267"/>
      <c r="S29" s="245"/>
      <c r="T29" s="289"/>
      <c r="U29" s="245"/>
      <c r="V29" s="245"/>
      <c r="W29" s="245"/>
      <c r="X29" s="245"/>
      <c r="Y29" s="245"/>
      <c r="Z29" s="245"/>
      <c r="AA29" s="245"/>
      <c r="AB29" s="245"/>
    </row>
    <row r="30" spans="1:28" ht="14.1" customHeight="1">
      <c r="A30" s="245"/>
      <c r="B30" s="258"/>
      <c r="C30" s="290" t="s">
        <v>1415</v>
      </c>
      <c r="D30" s="296">
        <v>9.9499999999999993</v>
      </c>
      <c r="E30" s="296">
        <v>90.7</v>
      </c>
      <c r="F30" s="284">
        <v>32</v>
      </c>
      <c r="G30" s="285">
        <v>4.2</v>
      </c>
      <c r="H30" s="284">
        <v>902</v>
      </c>
      <c r="I30" s="286">
        <v>318</v>
      </c>
      <c r="J30" s="286">
        <v>42</v>
      </c>
      <c r="K30" s="287" t="s">
        <v>1405</v>
      </c>
      <c r="L30" s="245"/>
      <c r="M30" s="288"/>
      <c r="N30" s="288"/>
      <c r="O30" s="267"/>
      <c r="P30" s="267"/>
      <c r="Q30" s="267"/>
      <c r="R30" s="267"/>
      <c r="S30" s="245"/>
      <c r="T30" s="289"/>
      <c r="U30" s="245"/>
      <c r="V30" s="245"/>
      <c r="W30" s="245"/>
      <c r="X30" s="245"/>
      <c r="Y30" s="245"/>
      <c r="Z30" s="245"/>
      <c r="AA30" s="245"/>
      <c r="AB30" s="245"/>
    </row>
    <row r="31" spans="1:28" ht="14.1" customHeight="1">
      <c r="A31" s="245"/>
      <c r="B31" s="258"/>
      <c r="C31" s="290" t="s">
        <v>1416</v>
      </c>
      <c r="D31" s="283">
        <v>30</v>
      </c>
      <c r="E31" s="283">
        <v>102.41</v>
      </c>
      <c r="F31" s="284">
        <v>32</v>
      </c>
      <c r="G31" s="285">
        <v>4.2</v>
      </c>
      <c r="H31" s="284">
        <v>3072</v>
      </c>
      <c r="I31" s="286">
        <v>960</v>
      </c>
      <c r="J31" s="286">
        <v>126</v>
      </c>
      <c r="K31" s="287" t="s">
        <v>1405</v>
      </c>
      <c r="L31" s="245"/>
      <c r="M31" s="288"/>
      <c r="N31" s="288"/>
      <c r="O31" s="267"/>
      <c r="P31" s="267"/>
      <c r="Q31" s="267"/>
      <c r="R31" s="267"/>
      <c r="S31" s="245"/>
      <c r="T31" s="289"/>
      <c r="U31" s="245"/>
      <c r="V31" s="245"/>
      <c r="W31" s="245"/>
      <c r="X31" s="245"/>
      <c r="Y31" s="245"/>
      <c r="Z31" s="245"/>
      <c r="AA31" s="245"/>
      <c r="AB31" s="245"/>
    </row>
    <row r="32" spans="1:28" ht="14.1" customHeight="1">
      <c r="A32" s="245"/>
      <c r="B32" s="258"/>
      <c r="C32" s="290" t="s">
        <v>1417</v>
      </c>
      <c r="D32" s="283">
        <v>38</v>
      </c>
      <c r="E32" s="283">
        <v>75</v>
      </c>
      <c r="F32" s="284">
        <v>32</v>
      </c>
      <c r="G32" s="285">
        <v>4.2</v>
      </c>
      <c r="H32" s="284">
        <v>2850</v>
      </c>
      <c r="I32" s="286">
        <v>1216</v>
      </c>
      <c r="J32" s="286">
        <v>160</v>
      </c>
      <c r="K32" s="287" t="s">
        <v>1405</v>
      </c>
      <c r="L32" s="245"/>
      <c r="M32" s="288"/>
      <c r="N32" s="288"/>
      <c r="O32" s="267"/>
      <c r="P32" s="267"/>
      <c r="Q32" s="267"/>
      <c r="R32" s="267"/>
      <c r="S32" s="245"/>
      <c r="T32" s="289"/>
      <c r="U32" s="245"/>
      <c r="V32" s="245"/>
      <c r="W32" s="245"/>
      <c r="X32" s="245"/>
      <c r="Y32" s="245"/>
      <c r="Z32" s="245"/>
      <c r="AA32" s="245"/>
      <c r="AB32" s="245"/>
    </row>
    <row r="33" spans="1:28" ht="14.1" customHeight="1">
      <c r="A33" s="245"/>
      <c r="B33" s="258"/>
      <c r="C33" s="290" t="s">
        <v>1418</v>
      </c>
      <c r="D33" s="296">
        <v>26.87</v>
      </c>
      <c r="E33" s="296">
        <v>85.97</v>
      </c>
      <c r="F33" s="284">
        <v>32</v>
      </c>
      <c r="G33" s="285">
        <v>4.2</v>
      </c>
      <c r="H33" s="284">
        <v>2310</v>
      </c>
      <c r="I33" s="286">
        <v>860</v>
      </c>
      <c r="J33" s="286">
        <v>113</v>
      </c>
      <c r="K33" s="287" t="s">
        <v>1405</v>
      </c>
      <c r="L33" s="245"/>
      <c r="M33" s="288"/>
      <c r="N33" s="288"/>
      <c r="O33" s="267"/>
      <c r="P33" s="267"/>
      <c r="Q33" s="267"/>
      <c r="R33" s="267"/>
      <c r="S33" s="245"/>
      <c r="T33" s="289"/>
      <c r="U33" s="245"/>
      <c r="V33" s="245"/>
      <c r="W33" s="245"/>
      <c r="X33" s="245"/>
      <c r="Y33" s="245"/>
      <c r="Z33" s="245"/>
      <c r="AA33" s="245"/>
      <c r="AB33" s="245"/>
    </row>
    <row r="34" spans="1:28" ht="14.1" customHeight="1">
      <c r="A34" s="245"/>
      <c r="B34" s="297"/>
      <c r="C34" s="291" t="s">
        <v>1419</v>
      </c>
      <c r="D34" s="292"/>
      <c r="E34" s="292"/>
      <c r="F34" s="293"/>
      <c r="G34" s="294"/>
      <c r="H34" s="298"/>
      <c r="I34" s="298"/>
      <c r="J34" s="298"/>
      <c r="K34" s="299"/>
      <c r="L34" s="245"/>
      <c r="M34" s="288"/>
      <c r="N34" s="288"/>
      <c r="O34" s="267"/>
      <c r="P34" s="267"/>
      <c r="Q34" s="267"/>
      <c r="R34" s="245"/>
      <c r="S34" s="245"/>
      <c r="T34" s="245"/>
      <c r="U34" s="245"/>
      <c r="V34" s="245"/>
      <c r="W34" s="245"/>
      <c r="X34" s="245"/>
      <c r="Y34" s="245"/>
      <c r="Z34" s="245"/>
      <c r="AA34" s="245"/>
      <c r="AB34" s="245"/>
    </row>
    <row r="35" spans="1:28" ht="14.1" customHeight="1">
      <c r="A35" s="245"/>
      <c r="B35" s="258"/>
      <c r="C35" s="290" t="s">
        <v>1420</v>
      </c>
      <c r="D35" s="296">
        <v>8.25</v>
      </c>
      <c r="E35" s="296">
        <v>118.17</v>
      </c>
      <c r="F35" s="284">
        <v>32</v>
      </c>
      <c r="G35" s="285">
        <v>4.2</v>
      </c>
      <c r="H35" s="284">
        <v>975</v>
      </c>
      <c r="I35" s="286">
        <v>264</v>
      </c>
      <c r="J35" s="286">
        <v>35</v>
      </c>
      <c r="K35" s="287" t="s">
        <v>1405</v>
      </c>
      <c r="L35" s="245"/>
      <c r="M35" s="288"/>
      <c r="N35" s="288"/>
      <c r="O35" s="267"/>
      <c r="P35" s="267"/>
      <c r="Q35" s="267"/>
      <c r="R35" s="267"/>
      <c r="S35" s="245"/>
      <c r="T35" s="289"/>
      <c r="U35" s="245"/>
      <c r="V35" s="245"/>
      <c r="W35" s="245"/>
      <c r="X35" s="245"/>
      <c r="Y35" s="245"/>
      <c r="Z35" s="245"/>
      <c r="AA35" s="245"/>
      <c r="AB35" s="245"/>
    </row>
    <row r="36" spans="1:28" ht="14.1" customHeight="1">
      <c r="A36" s="245"/>
      <c r="B36" s="258"/>
      <c r="C36" s="290" t="s">
        <v>1421</v>
      </c>
      <c r="D36" s="296">
        <v>8</v>
      </c>
      <c r="E36" s="296">
        <v>111.84</v>
      </c>
      <c r="F36" s="284">
        <v>32</v>
      </c>
      <c r="G36" s="285">
        <v>4.2</v>
      </c>
      <c r="H36" s="284">
        <v>895</v>
      </c>
      <c r="I36" s="286">
        <v>256</v>
      </c>
      <c r="J36" s="286">
        <v>34</v>
      </c>
      <c r="K36" s="287" t="s">
        <v>1405</v>
      </c>
      <c r="L36" s="245"/>
      <c r="M36" s="288"/>
      <c r="N36" s="288"/>
      <c r="O36" s="267"/>
      <c r="P36" s="267"/>
      <c r="Q36" s="267"/>
      <c r="R36" s="267"/>
      <c r="S36" s="245"/>
      <c r="T36" s="289"/>
      <c r="U36" s="245"/>
      <c r="V36" s="245"/>
      <c r="W36" s="245"/>
      <c r="X36" s="245"/>
      <c r="Y36" s="245"/>
      <c r="Z36" s="245"/>
      <c r="AA36" s="245"/>
      <c r="AB36" s="245"/>
    </row>
    <row r="37" spans="1:28" ht="14.1" customHeight="1">
      <c r="A37" s="245"/>
      <c r="B37" s="258"/>
      <c r="C37" s="290" t="s">
        <v>1422</v>
      </c>
      <c r="D37" s="296">
        <v>25.83</v>
      </c>
      <c r="E37" s="296">
        <v>105.51</v>
      </c>
      <c r="F37" s="284">
        <v>32</v>
      </c>
      <c r="G37" s="285">
        <v>4.2</v>
      </c>
      <c r="H37" s="284">
        <v>2725</v>
      </c>
      <c r="I37" s="286">
        <v>827</v>
      </c>
      <c r="J37" s="286">
        <v>108</v>
      </c>
      <c r="K37" s="287" t="s">
        <v>1405</v>
      </c>
      <c r="L37" s="245"/>
      <c r="M37" s="288"/>
      <c r="N37" s="288"/>
      <c r="O37" s="267"/>
      <c r="P37" s="267"/>
      <c r="Q37" s="267"/>
      <c r="R37" s="267"/>
      <c r="S37" s="245"/>
      <c r="T37" s="289"/>
      <c r="U37" s="245"/>
      <c r="V37" s="245"/>
      <c r="W37" s="245"/>
      <c r="X37" s="245"/>
      <c r="Y37" s="245"/>
      <c r="Z37" s="245"/>
      <c r="AA37" s="245"/>
      <c r="AB37" s="245"/>
    </row>
    <row r="38" spans="1:28" ht="14.1" customHeight="1">
      <c r="A38" s="245"/>
      <c r="B38" s="258"/>
      <c r="C38" s="290" t="s">
        <v>1423</v>
      </c>
      <c r="D38" s="296">
        <v>15.38</v>
      </c>
      <c r="E38" s="296">
        <v>93.8</v>
      </c>
      <c r="F38" s="284">
        <v>32</v>
      </c>
      <c r="G38" s="285">
        <v>4.2</v>
      </c>
      <c r="H38" s="284">
        <v>1443</v>
      </c>
      <c r="I38" s="286">
        <v>492</v>
      </c>
      <c r="J38" s="286">
        <v>65</v>
      </c>
      <c r="K38" s="287" t="s">
        <v>1405</v>
      </c>
      <c r="L38" s="245"/>
      <c r="M38" s="288"/>
      <c r="N38" s="288"/>
      <c r="O38" s="267"/>
      <c r="P38" s="267"/>
      <c r="Q38" s="267"/>
      <c r="R38" s="267"/>
      <c r="S38" s="245"/>
      <c r="T38" s="289"/>
      <c r="U38" s="245"/>
      <c r="V38" s="245"/>
      <c r="W38" s="245"/>
      <c r="X38" s="245"/>
      <c r="Y38" s="245"/>
      <c r="Z38" s="245"/>
      <c r="AA38" s="245"/>
      <c r="AB38" s="245"/>
    </row>
    <row r="39" spans="1:28" s="277" customFormat="1" ht="26.25" customHeight="1">
      <c r="A39" s="273"/>
      <c r="B39" s="273"/>
      <c r="C39" s="274"/>
      <c r="D39" s="275" t="s">
        <v>1424</v>
      </c>
      <c r="E39" s="275" t="s">
        <v>1397</v>
      </c>
      <c r="F39" s="275" t="s">
        <v>1398</v>
      </c>
      <c r="G39" s="275" t="s">
        <v>1399</v>
      </c>
      <c r="H39" s="275" t="s">
        <v>1425</v>
      </c>
      <c r="I39" s="275" t="s">
        <v>1426</v>
      </c>
      <c r="J39" s="275" t="s">
        <v>1427</v>
      </c>
      <c r="K39" s="276"/>
      <c r="L39" s="245"/>
      <c r="M39" s="245"/>
      <c r="N39" s="245"/>
      <c r="O39" s="267"/>
      <c r="P39" s="267"/>
      <c r="Q39" s="267"/>
      <c r="R39" s="268"/>
      <c r="S39" s="268"/>
      <c r="T39" s="268"/>
      <c r="U39" s="268"/>
      <c r="V39" s="273"/>
      <c r="W39" s="273"/>
      <c r="X39" s="273"/>
      <c r="Y39" s="273"/>
      <c r="Z39" s="273"/>
      <c r="AA39" s="273"/>
      <c r="AB39" s="273"/>
    </row>
    <row r="40" spans="1:28" ht="14.1" customHeight="1">
      <c r="A40" s="245"/>
      <c r="B40" s="297"/>
      <c r="C40" s="300" t="s">
        <v>1428</v>
      </c>
      <c r="D40" s="301"/>
      <c r="E40" s="302"/>
      <c r="F40" s="303"/>
      <c r="G40" s="303"/>
      <c r="H40" s="304"/>
      <c r="I40" s="304"/>
      <c r="J40" s="304"/>
      <c r="K40" s="305"/>
      <c r="L40" s="245"/>
      <c r="M40" s="245"/>
      <c r="N40" s="245"/>
      <c r="O40" s="267"/>
      <c r="P40" s="267"/>
      <c r="Q40" s="267"/>
      <c r="R40" s="268"/>
      <c r="S40" s="268"/>
      <c r="T40" s="268"/>
      <c r="U40" s="268"/>
      <c r="V40" s="245"/>
      <c r="W40" s="245"/>
      <c r="X40" s="245"/>
      <c r="Y40" s="245"/>
      <c r="Z40" s="245"/>
      <c r="AA40" s="245"/>
      <c r="AB40" s="245"/>
    </row>
    <row r="41" spans="1:28" ht="14.1" customHeight="1">
      <c r="A41" s="245"/>
      <c r="B41" s="306"/>
      <c r="C41" s="281" t="s">
        <v>1429</v>
      </c>
      <c r="D41" s="307">
        <v>1.0280000000000001E-3</v>
      </c>
      <c r="E41" s="282">
        <v>53.02</v>
      </c>
      <c r="F41" s="285">
        <v>1</v>
      </c>
      <c r="G41" s="282">
        <v>0.1</v>
      </c>
      <c r="H41" s="308">
        <v>5.45E-2</v>
      </c>
      <c r="I41" s="307">
        <v>1.0280000000000001E-3</v>
      </c>
      <c r="J41" s="307">
        <v>1.03E-4</v>
      </c>
      <c r="K41" s="309" t="s">
        <v>1430</v>
      </c>
      <c r="L41" s="245"/>
      <c r="M41" s="245"/>
      <c r="N41" s="245"/>
      <c r="O41" s="267"/>
      <c r="P41" s="267"/>
      <c r="Q41" s="267"/>
      <c r="R41" s="268"/>
      <c r="S41" s="268"/>
      <c r="T41" s="268"/>
      <c r="U41" s="268"/>
      <c r="V41" s="245"/>
      <c r="W41" s="245"/>
      <c r="X41" s="245"/>
      <c r="Y41" s="245"/>
      <c r="Z41" s="245"/>
      <c r="AA41" s="245"/>
      <c r="AB41" s="245"/>
    </row>
    <row r="42" spans="1:28" ht="14.1" customHeight="1">
      <c r="A42" s="245"/>
      <c r="B42" s="246"/>
      <c r="C42" s="310" t="s">
        <v>1431</v>
      </c>
      <c r="D42" s="311"/>
      <c r="E42" s="311"/>
      <c r="F42" s="311"/>
      <c r="G42" s="311"/>
      <c r="H42" s="312"/>
      <c r="I42" s="311"/>
      <c r="J42" s="311"/>
      <c r="K42" s="313"/>
      <c r="L42" s="245"/>
      <c r="M42" s="245"/>
      <c r="N42" s="245"/>
      <c r="O42" s="267"/>
      <c r="P42" s="267"/>
      <c r="Q42" s="267"/>
      <c r="R42" s="268"/>
      <c r="S42" s="268"/>
      <c r="T42" s="268"/>
      <c r="U42" s="268"/>
      <c r="V42" s="245"/>
      <c r="W42" s="245"/>
      <c r="X42" s="245"/>
      <c r="Y42" s="245"/>
      <c r="Z42" s="245"/>
      <c r="AA42" s="245"/>
      <c r="AB42" s="245"/>
    </row>
    <row r="43" spans="1:28" ht="14.1" customHeight="1">
      <c r="A43" s="245"/>
      <c r="B43" s="258"/>
      <c r="C43" s="290" t="s">
        <v>1432</v>
      </c>
      <c r="D43" s="314">
        <v>9.2E-5</v>
      </c>
      <c r="E43" s="296">
        <v>274.32</v>
      </c>
      <c r="F43" s="315">
        <v>2.2000000000000002E-2</v>
      </c>
      <c r="G43" s="282">
        <v>0.1</v>
      </c>
      <c r="H43" s="308">
        <v>2.5239999999999999E-2</v>
      </c>
      <c r="I43" s="307">
        <v>1.9999999999999999E-6</v>
      </c>
      <c r="J43" s="307">
        <v>9.0000000000000002E-6</v>
      </c>
      <c r="K43" s="309" t="s">
        <v>1430</v>
      </c>
      <c r="L43" s="245"/>
      <c r="M43" s="245"/>
      <c r="N43" s="245"/>
      <c r="O43" s="267"/>
      <c r="P43" s="267"/>
      <c r="Q43" s="267"/>
      <c r="R43" s="268"/>
      <c r="S43" s="268"/>
      <c r="T43" s="268"/>
      <c r="U43" s="268"/>
      <c r="V43" s="245"/>
      <c r="W43" s="245"/>
      <c r="X43" s="245"/>
      <c r="Y43" s="245"/>
      <c r="Z43" s="245"/>
      <c r="AA43" s="245"/>
      <c r="AB43" s="245"/>
    </row>
    <row r="44" spans="1:28" ht="14.1" customHeight="1">
      <c r="A44" s="245"/>
      <c r="B44" s="258"/>
      <c r="C44" s="290" t="s">
        <v>1433</v>
      </c>
      <c r="D44" s="314">
        <v>5.9900000000000003E-4</v>
      </c>
      <c r="E44" s="296">
        <v>46.85</v>
      </c>
      <c r="F44" s="315">
        <v>0.48</v>
      </c>
      <c r="G44" s="282">
        <v>0.1</v>
      </c>
      <c r="H44" s="308">
        <v>2.8060000000000002E-2</v>
      </c>
      <c r="I44" s="307">
        <v>2.8800000000000001E-4</v>
      </c>
      <c r="J44" s="307">
        <v>6.0000000000000002E-5</v>
      </c>
      <c r="K44" s="309" t="s">
        <v>1430</v>
      </c>
      <c r="L44" s="245"/>
      <c r="M44" s="245"/>
      <c r="N44" s="245"/>
      <c r="O44" s="267"/>
      <c r="P44" s="267"/>
      <c r="Q44" s="267"/>
      <c r="R44" s="268"/>
      <c r="S44" s="268"/>
      <c r="T44" s="268"/>
      <c r="U44" s="268"/>
      <c r="V44" s="245"/>
      <c r="W44" s="245"/>
      <c r="X44" s="245"/>
      <c r="Y44" s="245"/>
      <c r="Z44" s="245"/>
      <c r="AA44" s="245"/>
      <c r="AB44" s="245"/>
    </row>
    <row r="45" spans="1:28" ht="14.1" customHeight="1">
      <c r="A45" s="245"/>
      <c r="B45" s="258"/>
      <c r="C45" s="290" t="s">
        <v>1434</v>
      </c>
      <c r="D45" s="314">
        <v>1.3879999999999999E-3</v>
      </c>
      <c r="E45" s="316">
        <v>59</v>
      </c>
      <c r="F45" s="315">
        <v>2.2000000000000002E-2</v>
      </c>
      <c r="G45" s="282">
        <v>0.1</v>
      </c>
      <c r="H45" s="308">
        <v>8.1890000000000004E-2</v>
      </c>
      <c r="I45" s="307">
        <v>3.1000000000000001E-5</v>
      </c>
      <c r="J45" s="307">
        <v>1.3899999999999999E-4</v>
      </c>
      <c r="K45" s="309" t="s">
        <v>1430</v>
      </c>
      <c r="L45" s="245"/>
      <c r="M45" s="245"/>
      <c r="N45" s="245"/>
      <c r="O45" s="267"/>
      <c r="P45" s="267"/>
      <c r="Q45" s="267"/>
      <c r="R45" s="268"/>
      <c r="S45" s="268"/>
      <c r="T45" s="268"/>
      <c r="U45" s="268"/>
      <c r="V45" s="245"/>
      <c r="W45" s="245"/>
      <c r="X45" s="245"/>
      <c r="Y45" s="245"/>
      <c r="Z45" s="245"/>
      <c r="AA45" s="245"/>
      <c r="AB45" s="245"/>
    </row>
    <row r="46" spans="1:28" ht="14.1" customHeight="1">
      <c r="A46" s="245"/>
      <c r="B46" s="258"/>
      <c r="C46" s="290" t="s">
        <v>1435</v>
      </c>
      <c r="D46" s="314">
        <v>2.516E-3</v>
      </c>
      <c r="E46" s="316">
        <v>61.46</v>
      </c>
      <c r="F46" s="315">
        <v>2.2000000000000002E-2</v>
      </c>
      <c r="G46" s="282">
        <v>0.1</v>
      </c>
      <c r="H46" s="308">
        <v>0.15462999999999999</v>
      </c>
      <c r="I46" s="307">
        <v>5.5000000000000002E-5</v>
      </c>
      <c r="J46" s="307">
        <v>2.52E-4</v>
      </c>
      <c r="K46" s="309" t="s">
        <v>1430</v>
      </c>
      <c r="L46" s="245"/>
      <c r="M46" s="245"/>
      <c r="N46" s="245"/>
      <c r="O46" s="267"/>
      <c r="P46" s="267"/>
      <c r="Q46" s="267"/>
      <c r="R46" s="268"/>
      <c r="S46" s="268"/>
      <c r="T46" s="268"/>
      <c r="U46" s="268"/>
      <c r="V46" s="245"/>
      <c r="W46" s="245"/>
      <c r="X46" s="245"/>
      <c r="Y46" s="245"/>
      <c r="Z46" s="245"/>
      <c r="AA46" s="245"/>
      <c r="AB46" s="245"/>
    </row>
    <row r="47" spans="1:28" ht="14.1" customHeight="1">
      <c r="A47" s="245"/>
      <c r="B47" s="246"/>
      <c r="C47" s="291" t="s">
        <v>1436</v>
      </c>
      <c r="D47" s="311"/>
      <c r="E47" s="311"/>
      <c r="F47" s="292"/>
      <c r="G47" s="292"/>
      <c r="H47" s="311"/>
      <c r="I47" s="311"/>
      <c r="J47" s="311"/>
      <c r="K47" s="313"/>
      <c r="L47" s="245"/>
      <c r="M47" s="245"/>
      <c r="N47" s="245"/>
      <c r="O47" s="267"/>
      <c r="P47" s="267"/>
      <c r="Q47" s="267"/>
      <c r="R47" s="268"/>
      <c r="S47" s="268"/>
      <c r="T47" s="268"/>
      <c r="U47" s="268"/>
      <c r="V47" s="245"/>
      <c r="W47" s="245"/>
      <c r="X47" s="245"/>
      <c r="Y47" s="245"/>
      <c r="Z47" s="245"/>
      <c r="AA47" s="245"/>
      <c r="AB47" s="245"/>
    </row>
    <row r="48" spans="1:28" s="266" customFormat="1" ht="14.1" customHeight="1">
      <c r="A48" s="259"/>
      <c r="B48" s="317"/>
      <c r="C48" s="318" t="s">
        <v>1437</v>
      </c>
      <c r="D48" s="319">
        <v>8.4099999999999995E-4</v>
      </c>
      <c r="E48" s="320">
        <v>52.07</v>
      </c>
      <c r="F48" s="321">
        <v>3.2</v>
      </c>
      <c r="G48" s="321">
        <v>0.63</v>
      </c>
      <c r="H48" s="322">
        <v>4.3790000000000003E-2</v>
      </c>
      <c r="I48" s="323">
        <v>2.6909999999999998E-3</v>
      </c>
      <c r="J48" s="323">
        <v>5.2999999999999998E-4</v>
      </c>
      <c r="K48" s="324" t="s">
        <v>1430</v>
      </c>
      <c r="L48" s="245"/>
      <c r="M48" s="245"/>
      <c r="N48" s="245"/>
      <c r="O48" s="267"/>
      <c r="P48" s="267"/>
      <c r="Q48" s="267"/>
      <c r="R48" s="268"/>
      <c r="S48" s="268"/>
      <c r="T48" s="268"/>
      <c r="U48" s="268"/>
      <c r="V48" s="259"/>
      <c r="W48" s="259"/>
      <c r="X48" s="259"/>
      <c r="Y48" s="259"/>
      <c r="Z48" s="259"/>
      <c r="AA48" s="259"/>
      <c r="AB48" s="259"/>
    </row>
    <row r="49" spans="1:28" s="277" customFormat="1" ht="27" customHeight="1">
      <c r="A49" s="273"/>
      <c r="B49" s="273"/>
      <c r="C49" s="274"/>
      <c r="D49" s="275" t="s">
        <v>1438</v>
      </c>
      <c r="E49" s="275" t="s">
        <v>1397</v>
      </c>
      <c r="F49" s="275" t="s">
        <v>1398</v>
      </c>
      <c r="G49" s="275" t="s">
        <v>1399</v>
      </c>
      <c r="H49" s="275" t="s">
        <v>1439</v>
      </c>
      <c r="I49" s="275" t="s">
        <v>1440</v>
      </c>
      <c r="J49" s="275" t="s">
        <v>1441</v>
      </c>
      <c r="K49" s="276"/>
      <c r="L49" s="245"/>
      <c r="M49" s="245"/>
      <c r="N49" s="245"/>
      <c r="O49" s="267"/>
      <c r="P49" s="267"/>
      <c r="Q49" s="267"/>
      <c r="R49" s="268"/>
      <c r="S49" s="268"/>
      <c r="T49" s="268"/>
      <c r="U49" s="268"/>
      <c r="V49" s="273"/>
      <c r="W49" s="273"/>
      <c r="X49" s="273"/>
      <c r="Y49" s="273"/>
      <c r="Z49" s="273"/>
      <c r="AA49" s="273"/>
      <c r="AB49" s="273"/>
    </row>
    <row r="50" spans="1:28" s="266" customFormat="1" ht="14.1" customHeight="1">
      <c r="A50" s="259"/>
      <c r="B50" s="248"/>
      <c r="C50" s="325" t="s">
        <v>1442</v>
      </c>
      <c r="D50" s="326"/>
      <c r="E50" s="326"/>
      <c r="F50" s="326"/>
      <c r="G50" s="326"/>
      <c r="H50" s="326"/>
      <c r="I50" s="326"/>
      <c r="J50" s="326"/>
      <c r="K50" s="327"/>
      <c r="L50" s="245"/>
      <c r="M50" s="245"/>
      <c r="N50" s="245"/>
      <c r="O50" s="267"/>
      <c r="P50" s="267"/>
      <c r="Q50" s="267"/>
      <c r="R50" s="268"/>
      <c r="S50" s="268"/>
      <c r="T50" s="268"/>
      <c r="U50" s="268"/>
      <c r="V50" s="259"/>
      <c r="W50" s="259"/>
      <c r="X50" s="259"/>
      <c r="Y50" s="259"/>
      <c r="Z50" s="259"/>
      <c r="AA50" s="259"/>
      <c r="AB50" s="259"/>
    </row>
    <row r="51" spans="1:28" ht="14.1" customHeight="1">
      <c r="A51" s="245"/>
      <c r="B51" s="258"/>
      <c r="C51" s="290" t="s">
        <v>1443</v>
      </c>
      <c r="D51" s="328">
        <v>0.158</v>
      </c>
      <c r="E51" s="283">
        <v>75.36</v>
      </c>
      <c r="F51" s="329">
        <v>3</v>
      </c>
      <c r="G51" s="283">
        <v>0.6</v>
      </c>
      <c r="H51" s="330">
        <v>11.91</v>
      </c>
      <c r="I51" s="330">
        <v>0.47</v>
      </c>
      <c r="J51" s="330">
        <v>0.09</v>
      </c>
      <c r="K51" s="331" t="s">
        <v>1371</v>
      </c>
      <c r="L51" s="245"/>
      <c r="M51" s="245"/>
      <c r="N51" s="245"/>
      <c r="O51" s="267"/>
      <c r="P51" s="267"/>
      <c r="Q51" s="267"/>
      <c r="R51" s="268"/>
      <c r="S51" s="268"/>
      <c r="T51" s="268"/>
      <c r="U51" s="268"/>
      <c r="V51" s="245"/>
      <c r="W51" s="245"/>
      <c r="X51" s="245"/>
      <c r="Y51" s="245"/>
      <c r="Z51" s="245"/>
      <c r="AA51" s="245"/>
      <c r="AB51" s="245"/>
    </row>
    <row r="52" spans="1:28" ht="14.1" customHeight="1">
      <c r="A52" s="245"/>
      <c r="B52" s="258"/>
      <c r="C52" s="290" t="s">
        <v>1444</v>
      </c>
      <c r="D52" s="328">
        <v>0.12</v>
      </c>
      <c r="E52" s="283">
        <v>69.25</v>
      </c>
      <c r="F52" s="329">
        <v>3</v>
      </c>
      <c r="G52" s="283">
        <v>0.6</v>
      </c>
      <c r="H52" s="330">
        <v>8.31</v>
      </c>
      <c r="I52" s="330">
        <v>0.36</v>
      </c>
      <c r="J52" s="330">
        <v>7.0000000000000007E-2</v>
      </c>
      <c r="K52" s="331" t="s">
        <v>1371</v>
      </c>
      <c r="L52" s="245"/>
      <c r="M52" s="245"/>
      <c r="N52" s="245"/>
      <c r="O52" s="267"/>
      <c r="P52" s="267"/>
      <c r="Q52" s="267"/>
      <c r="R52" s="268"/>
      <c r="S52" s="268"/>
      <c r="T52" s="268"/>
      <c r="U52" s="268"/>
      <c r="V52" s="245"/>
      <c r="W52" s="245"/>
      <c r="X52" s="245"/>
      <c r="Y52" s="245"/>
      <c r="Z52" s="245"/>
      <c r="AA52" s="245"/>
      <c r="AB52" s="245"/>
    </row>
    <row r="53" spans="1:28" ht="14.1" customHeight="1">
      <c r="A53" s="245"/>
      <c r="B53" s="258"/>
      <c r="C53" s="290" t="s">
        <v>1445</v>
      </c>
      <c r="D53" s="328">
        <v>0.10100000000000001</v>
      </c>
      <c r="E53" s="283">
        <v>65.150000000000006</v>
      </c>
      <c r="F53" s="329">
        <v>3</v>
      </c>
      <c r="G53" s="283">
        <v>0.6</v>
      </c>
      <c r="H53" s="330">
        <v>6.58</v>
      </c>
      <c r="I53" s="330">
        <v>0.3</v>
      </c>
      <c r="J53" s="330">
        <v>0.06</v>
      </c>
      <c r="K53" s="331" t="s">
        <v>1371</v>
      </c>
      <c r="L53" s="245"/>
      <c r="M53" s="245"/>
      <c r="N53" s="245"/>
      <c r="O53" s="267"/>
      <c r="P53" s="267"/>
      <c r="Q53" s="267"/>
      <c r="R53" s="268"/>
      <c r="S53" s="268"/>
      <c r="T53" s="268"/>
      <c r="U53" s="268"/>
      <c r="V53" s="245"/>
      <c r="W53" s="245"/>
      <c r="X53" s="245"/>
      <c r="Y53" s="245"/>
      <c r="Z53" s="245"/>
      <c r="AA53" s="245"/>
      <c r="AB53" s="245"/>
    </row>
    <row r="54" spans="1:28" ht="14.1" customHeight="1">
      <c r="A54" s="245"/>
      <c r="B54" s="258"/>
      <c r="C54" s="290" t="s">
        <v>1446</v>
      </c>
      <c r="D54" s="328">
        <v>0.10299999999999999</v>
      </c>
      <c r="E54" s="283">
        <v>67.73</v>
      </c>
      <c r="F54" s="329">
        <v>3</v>
      </c>
      <c r="G54" s="283">
        <v>0.6</v>
      </c>
      <c r="H54" s="330">
        <v>6.98</v>
      </c>
      <c r="I54" s="330">
        <v>0.31</v>
      </c>
      <c r="J54" s="330">
        <v>0.06</v>
      </c>
      <c r="K54" s="331" t="s">
        <v>1371</v>
      </c>
      <c r="L54" s="245"/>
      <c r="M54" s="245"/>
      <c r="N54" s="245"/>
      <c r="O54" s="267"/>
      <c r="P54" s="267"/>
      <c r="Q54" s="267"/>
      <c r="R54" s="268"/>
      <c r="S54" s="268"/>
      <c r="T54" s="268"/>
      <c r="U54" s="268"/>
      <c r="V54" s="245"/>
      <c r="W54" s="245"/>
      <c r="X54" s="245"/>
      <c r="Y54" s="245"/>
      <c r="Z54" s="245"/>
      <c r="AA54" s="245"/>
      <c r="AB54" s="245"/>
    </row>
    <row r="55" spans="1:28" ht="14.1" customHeight="1">
      <c r="A55" s="245"/>
      <c r="B55" s="258"/>
      <c r="C55" s="290" t="s">
        <v>1447</v>
      </c>
      <c r="D55" s="328">
        <v>0.13800000000000001</v>
      </c>
      <c r="E55" s="283">
        <v>74.489999999999995</v>
      </c>
      <c r="F55" s="329">
        <v>3</v>
      </c>
      <c r="G55" s="283">
        <v>0.6</v>
      </c>
      <c r="H55" s="330">
        <v>10.28</v>
      </c>
      <c r="I55" s="330">
        <v>0.41</v>
      </c>
      <c r="J55" s="330">
        <v>0.08</v>
      </c>
      <c r="K55" s="331" t="s">
        <v>1371</v>
      </c>
      <c r="L55" s="245"/>
      <c r="M55" s="245"/>
      <c r="N55" s="245"/>
      <c r="O55" s="267"/>
      <c r="P55" s="267"/>
      <c r="Q55" s="267"/>
      <c r="R55" s="268"/>
      <c r="S55" s="268"/>
      <c r="T55" s="268"/>
      <c r="U55" s="268"/>
      <c r="V55" s="245"/>
      <c r="W55" s="245"/>
      <c r="X55" s="245"/>
      <c r="Y55" s="245"/>
      <c r="Z55" s="245"/>
      <c r="AA55" s="245"/>
      <c r="AB55" s="245"/>
    </row>
    <row r="56" spans="1:28" ht="14.1" customHeight="1">
      <c r="A56" s="245"/>
      <c r="B56" s="258"/>
      <c r="C56" s="290" t="s">
        <v>1448</v>
      </c>
      <c r="D56" s="328">
        <v>0.13900000000000001</v>
      </c>
      <c r="E56" s="283">
        <v>73.25</v>
      </c>
      <c r="F56" s="329">
        <v>3</v>
      </c>
      <c r="G56" s="283">
        <v>0.6</v>
      </c>
      <c r="H56" s="330">
        <v>10.18</v>
      </c>
      <c r="I56" s="330">
        <v>0.42</v>
      </c>
      <c r="J56" s="330">
        <v>0.08</v>
      </c>
      <c r="K56" s="331" t="s">
        <v>1371</v>
      </c>
      <c r="L56" s="245"/>
      <c r="M56" s="245"/>
      <c r="N56" s="245"/>
      <c r="O56" s="267"/>
      <c r="P56" s="267"/>
      <c r="Q56" s="267"/>
      <c r="R56" s="268"/>
      <c r="S56" s="268"/>
      <c r="T56" s="268"/>
      <c r="U56" s="268"/>
      <c r="V56" s="245"/>
      <c r="W56" s="245"/>
      <c r="X56" s="245"/>
      <c r="Y56" s="245"/>
      <c r="Z56" s="245"/>
      <c r="AA56" s="245"/>
      <c r="AB56" s="245"/>
    </row>
    <row r="57" spans="1:28" ht="14.1" customHeight="1">
      <c r="A57" s="245"/>
      <c r="B57" s="258"/>
      <c r="C57" s="290" t="s">
        <v>1449</v>
      </c>
      <c r="D57" s="328">
        <v>0.13800000000000001</v>
      </c>
      <c r="E57" s="283">
        <v>73.959999999999994</v>
      </c>
      <c r="F57" s="329">
        <v>3</v>
      </c>
      <c r="G57" s="283">
        <v>0.6</v>
      </c>
      <c r="H57" s="330">
        <v>10.210000000000001</v>
      </c>
      <c r="I57" s="330">
        <v>0.41</v>
      </c>
      <c r="J57" s="330">
        <v>0.08</v>
      </c>
      <c r="K57" s="331" t="s">
        <v>1371</v>
      </c>
      <c r="L57" s="245"/>
      <c r="M57" s="245"/>
      <c r="N57" s="245"/>
      <c r="O57" s="267"/>
      <c r="P57" s="267"/>
      <c r="Q57" s="267"/>
      <c r="R57" s="268"/>
      <c r="S57" s="268"/>
      <c r="T57" s="268"/>
      <c r="U57" s="268"/>
      <c r="V57" s="245"/>
      <c r="W57" s="245"/>
      <c r="X57" s="245"/>
      <c r="Y57" s="245"/>
      <c r="Z57" s="245"/>
      <c r="AA57" s="245"/>
      <c r="AB57" s="245"/>
    </row>
    <row r="58" spans="1:28" ht="14.1" customHeight="1">
      <c r="A58" s="245"/>
      <c r="B58" s="258"/>
      <c r="C58" s="290" t="s">
        <v>1450</v>
      </c>
      <c r="D58" s="328">
        <v>0.14599999999999999</v>
      </c>
      <c r="E58" s="283">
        <v>75.040000000000006</v>
      </c>
      <c r="F58" s="329">
        <v>3</v>
      </c>
      <c r="G58" s="283">
        <v>0.6</v>
      </c>
      <c r="H58" s="330">
        <v>10.96</v>
      </c>
      <c r="I58" s="330">
        <v>0.44</v>
      </c>
      <c r="J58" s="330">
        <v>0.09</v>
      </c>
      <c r="K58" s="331" t="s">
        <v>1371</v>
      </c>
      <c r="L58" s="245"/>
      <c r="M58" s="245"/>
      <c r="N58" s="245"/>
      <c r="O58" s="267"/>
      <c r="P58" s="267"/>
      <c r="Q58" s="267"/>
      <c r="R58" s="332"/>
      <c r="S58" s="245"/>
      <c r="T58" s="289"/>
      <c r="U58" s="245"/>
      <c r="V58" s="245"/>
      <c r="W58" s="245"/>
      <c r="X58" s="245"/>
      <c r="Y58" s="245"/>
      <c r="Z58" s="245"/>
      <c r="AA58" s="245"/>
      <c r="AB58" s="245"/>
    </row>
    <row r="59" spans="1:28" ht="14.1" customHeight="1">
      <c r="A59" s="245"/>
      <c r="B59" s="258"/>
      <c r="C59" s="290" t="s">
        <v>1451</v>
      </c>
      <c r="D59" s="328">
        <v>6.9000000000000006E-2</v>
      </c>
      <c r="E59" s="283">
        <v>62.64</v>
      </c>
      <c r="F59" s="329">
        <v>3</v>
      </c>
      <c r="G59" s="283">
        <v>0.6</v>
      </c>
      <c r="H59" s="330">
        <v>4.32</v>
      </c>
      <c r="I59" s="330">
        <v>0.21</v>
      </c>
      <c r="J59" s="330">
        <v>0.04</v>
      </c>
      <c r="K59" s="331" t="s">
        <v>1371</v>
      </c>
      <c r="L59" s="245"/>
      <c r="M59" s="245"/>
      <c r="N59" s="245"/>
      <c r="O59" s="267"/>
      <c r="P59" s="267"/>
      <c r="Q59" s="267"/>
      <c r="R59" s="332"/>
      <c r="S59" s="245"/>
      <c r="T59" s="289"/>
      <c r="U59" s="245"/>
      <c r="V59" s="245"/>
      <c r="W59" s="245"/>
      <c r="X59" s="245"/>
      <c r="Y59" s="245"/>
      <c r="Z59" s="245"/>
      <c r="AA59" s="245"/>
      <c r="AB59" s="245"/>
    </row>
    <row r="60" spans="1:28" ht="14.1" customHeight="1">
      <c r="A60" s="245"/>
      <c r="B60" s="258"/>
      <c r="C60" s="290" t="s">
        <v>1452</v>
      </c>
      <c r="D60" s="328">
        <v>0.1</v>
      </c>
      <c r="E60" s="283">
        <v>67.430000000000007</v>
      </c>
      <c r="F60" s="329">
        <v>3</v>
      </c>
      <c r="G60" s="283">
        <v>0.6</v>
      </c>
      <c r="H60" s="330">
        <v>6.74</v>
      </c>
      <c r="I60" s="330">
        <v>0.3</v>
      </c>
      <c r="J60" s="330">
        <v>0.06</v>
      </c>
      <c r="K60" s="331" t="s">
        <v>1371</v>
      </c>
      <c r="L60" s="245"/>
      <c r="M60" s="245"/>
      <c r="N60" s="245"/>
      <c r="O60" s="267"/>
      <c r="P60" s="267"/>
      <c r="Q60" s="267"/>
      <c r="R60" s="332"/>
      <c r="S60" s="245"/>
      <c r="T60" s="289"/>
      <c r="U60" s="245"/>
      <c r="V60" s="245"/>
      <c r="W60" s="245"/>
      <c r="X60" s="245"/>
      <c r="Y60" s="245"/>
      <c r="Z60" s="245"/>
      <c r="AA60" s="245"/>
      <c r="AB60" s="245"/>
    </row>
    <row r="61" spans="1:28" ht="14.1" customHeight="1">
      <c r="A61" s="245"/>
      <c r="B61" s="258"/>
      <c r="C61" s="290" t="s">
        <v>1453</v>
      </c>
      <c r="D61" s="328">
        <v>0.14799999999999999</v>
      </c>
      <c r="E61" s="283">
        <v>74.92</v>
      </c>
      <c r="F61" s="329">
        <v>3</v>
      </c>
      <c r="G61" s="283">
        <v>0.6</v>
      </c>
      <c r="H61" s="330">
        <v>11.09</v>
      </c>
      <c r="I61" s="330">
        <v>0.44</v>
      </c>
      <c r="J61" s="330">
        <v>0.09</v>
      </c>
      <c r="K61" s="331" t="s">
        <v>1371</v>
      </c>
      <c r="L61" s="245"/>
      <c r="M61" s="245"/>
      <c r="N61" s="245"/>
      <c r="O61" s="267"/>
      <c r="P61" s="267"/>
      <c r="Q61" s="267"/>
      <c r="R61" s="332"/>
      <c r="S61" s="245"/>
      <c r="T61" s="289"/>
      <c r="U61" s="245"/>
      <c r="V61" s="245"/>
      <c r="W61" s="245"/>
      <c r="X61" s="245"/>
      <c r="Y61" s="245"/>
      <c r="Z61" s="245"/>
      <c r="AA61" s="245"/>
      <c r="AB61" s="245"/>
    </row>
    <row r="62" spans="1:28" ht="14.1" customHeight="1">
      <c r="A62" s="245"/>
      <c r="B62" s="258"/>
      <c r="C62" s="290" t="s">
        <v>1454</v>
      </c>
      <c r="D62" s="328">
        <v>9.7000000000000003E-2</v>
      </c>
      <c r="E62" s="283">
        <v>64.91</v>
      </c>
      <c r="F62" s="329">
        <v>3</v>
      </c>
      <c r="G62" s="283">
        <v>0.6</v>
      </c>
      <c r="H62" s="330">
        <v>6.3</v>
      </c>
      <c r="I62" s="330">
        <v>0.28999999999999998</v>
      </c>
      <c r="J62" s="330">
        <v>0.06</v>
      </c>
      <c r="K62" s="331" t="s">
        <v>1371</v>
      </c>
      <c r="L62" s="245"/>
      <c r="M62" s="245"/>
      <c r="N62" s="245"/>
      <c r="O62" s="267"/>
      <c r="P62" s="267"/>
      <c r="Q62" s="267"/>
      <c r="R62" s="332"/>
      <c r="S62" s="245"/>
      <c r="T62" s="289"/>
      <c r="U62" s="245"/>
      <c r="V62" s="245"/>
      <c r="W62" s="245"/>
      <c r="X62" s="245"/>
      <c r="Y62" s="245"/>
      <c r="Z62" s="245"/>
      <c r="AA62" s="245"/>
      <c r="AB62" s="245"/>
    </row>
    <row r="63" spans="1:28" ht="14.1" customHeight="1">
      <c r="A63" s="245"/>
      <c r="B63" s="258"/>
      <c r="C63" s="290" t="s">
        <v>1455</v>
      </c>
      <c r="D63" s="328">
        <v>0.10299999999999999</v>
      </c>
      <c r="E63" s="283">
        <v>67.739999999999995</v>
      </c>
      <c r="F63" s="329">
        <v>3</v>
      </c>
      <c r="G63" s="283">
        <v>0.6</v>
      </c>
      <c r="H63" s="330">
        <v>6.98</v>
      </c>
      <c r="I63" s="330">
        <v>0.31</v>
      </c>
      <c r="J63" s="330">
        <v>0.06</v>
      </c>
      <c r="K63" s="331" t="s">
        <v>1371</v>
      </c>
      <c r="L63" s="245"/>
      <c r="M63" s="245"/>
      <c r="N63" s="245"/>
      <c r="O63" s="267"/>
      <c r="P63" s="267"/>
      <c r="Q63" s="267"/>
      <c r="R63" s="332"/>
      <c r="S63" s="245"/>
      <c r="T63" s="289"/>
      <c r="U63" s="245"/>
      <c r="V63" s="245"/>
      <c r="W63" s="245"/>
      <c r="X63" s="245"/>
      <c r="Y63" s="245"/>
      <c r="Z63" s="245"/>
      <c r="AA63" s="245"/>
      <c r="AB63" s="245"/>
    </row>
    <row r="64" spans="1:28" ht="14.1" customHeight="1">
      <c r="A64" s="245"/>
      <c r="B64" s="258"/>
      <c r="C64" s="290" t="s">
        <v>168</v>
      </c>
      <c r="D64" s="328">
        <v>0.13500000000000001</v>
      </c>
      <c r="E64" s="283">
        <v>75.2</v>
      </c>
      <c r="F64" s="329">
        <v>3</v>
      </c>
      <c r="G64" s="283">
        <v>0.6</v>
      </c>
      <c r="H64" s="330">
        <v>10.15</v>
      </c>
      <c r="I64" s="330">
        <v>0.41</v>
      </c>
      <c r="J64" s="330">
        <v>0.08</v>
      </c>
      <c r="K64" s="331" t="s">
        <v>1371</v>
      </c>
      <c r="L64" s="245"/>
      <c r="M64" s="245"/>
      <c r="N64" s="245"/>
      <c r="O64" s="267"/>
      <c r="P64" s="267"/>
      <c r="Q64" s="267"/>
      <c r="R64" s="332"/>
      <c r="S64" s="245"/>
      <c r="T64" s="289"/>
      <c r="U64" s="245"/>
      <c r="V64" s="245"/>
      <c r="W64" s="245"/>
      <c r="X64" s="245"/>
      <c r="Y64" s="245"/>
      <c r="Z64" s="245"/>
      <c r="AA64" s="245"/>
      <c r="AB64" s="245"/>
    </row>
    <row r="65" spans="1:28" ht="14.1" customHeight="1">
      <c r="A65" s="245"/>
      <c r="B65" s="258"/>
      <c r="C65" s="290" t="s">
        <v>1456</v>
      </c>
      <c r="D65" s="328">
        <v>0.13500000000000001</v>
      </c>
      <c r="E65" s="283">
        <v>72.22</v>
      </c>
      <c r="F65" s="329">
        <v>3</v>
      </c>
      <c r="G65" s="283">
        <v>0.6</v>
      </c>
      <c r="H65" s="330">
        <v>9.75</v>
      </c>
      <c r="I65" s="330">
        <v>0.41</v>
      </c>
      <c r="J65" s="330">
        <v>0.08</v>
      </c>
      <c r="K65" s="331" t="s">
        <v>1371</v>
      </c>
      <c r="L65" s="245"/>
      <c r="M65" s="245"/>
      <c r="N65" s="245"/>
      <c r="O65" s="267"/>
      <c r="P65" s="267"/>
      <c r="Q65" s="267"/>
      <c r="R65" s="332"/>
      <c r="S65" s="245"/>
      <c r="T65" s="289"/>
      <c r="U65" s="245"/>
      <c r="V65" s="245"/>
      <c r="W65" s="245"/>
      <c r="X65" s="245"/>
      <c r="Y65" s="245"/>
      <c r="Z65" s="245"/>
      <c r="AA65" s="245"/>
      <c r="AB65" s="245"/>
    </row>
    <row r="66" spans="1:28" ht="14.1" customHeight="1">
      <c r="A66" s="245"/>
      <c r="B66" s="258"/>
      <c r="C66" s="290" t="s">
        <v>1457</v>
      </c>
      <c r="D66" s="328">
        <v>9.1999999999999998E-2</v>
      </c>
      <c r="E66" s="283">
        <v>62.98</v>
      </c>
      <c r="F66" s="329">
        <v>3</v>
      </c>
      <c r="G66" s="283">
        <v>0.6</v>
      </c>
      <c r="H66" s="330">
        <v>5.79</v>
      </c>
      <c r="I66" s="330">
        <v>0.28000000000000003</v>
      </c>
      <c r="J66" s="330">
        <v>0.06</v>
      </c>
      <c r="K66" s="331" t="s">
        <v>1371</v>
      </c>
      <c r="L66" s="245"/>
      <c r="M66" s="245"/>
      <c r="N66" s="245"/>
      <c r="O66" s="267"/>
      <c r="P66" s="267"/>
      <c r="Q66" s="267"/>
      <c r="R66" s="332"/>
      <c r="S66" s="245"/>
      <c r="T66" s="289"/>
      <c r="U66" s="245"/>
      <c r="V66" s="245"/>
      <c r="W66" s="245"/>
      <c r="X66" s="245"/>
      <c r="Y66" s="245"/>
      <c r="Z66" s="245"/>
      <c r="AA66" s="245"/>
      <c r="AB66" s="245"/>
    </row>
    <row r="67" spans="1:28" ht="14.1" customHeight="1">
      <c r="A67" s="245"/>
      <c r="B67" s="258"/>
      <c r="C67" s="290" t="s">
        <v>1458</v>
      </c>
      <c r="D67" s="328">
        <v>0.14399999999999999</v>
      </c>
      <c r="E67" s="283">
        <v>74.27</v>
      </c>
      <c r="F67" s="329">
        <v>3</v>
      </c>
      <c r="G67" s="283">
        <v>0.6</v>
      </c>
      <c r="H67" s="330">
        <v>10.69</v>
      </c>
      <c r="I67" s="330">
        <v>0.43</v>
      </c>
      <c r="J67" s="330">
        <v>0.09</v>
      </c>
      <c r="K67" s="331" t="s">
        <v>1371</v>
      </c>
      <c r="L67" s="245"/>
      <c r="M67" s="245"/>
      <c r="N67" s="245"/>
      <c r="O67" s="267"/>
      <c r="P67" s="267"/>
      <c r="Q67" s="267"/>
      <c r="R67" s="332"/>
      <c r="S67" s="245"/>
      <c r="T67" s="289"/>
      <c r="U67" s="245"/>
      <c r="V67" s="245"/>
      <c r="W67" s="245"/>
      <c r="X67" s="245"/>
      <c r="Y67" s="245"/>
      <c r="Z67" s="245"/>
      <c r="AA67" s="245"/>
      <c r="AB67" s="245"/>
    </row>
    <row r="68" spans="1:28" ht="14.1" customHeight="1">
      <c r="A68" s="245"/>
      <c r="B68" s="258"/>
      <c r="C68" s="290" t="s">
        <v>1459</v>
      </c>
      <c r="D68" s="328">
        <v>0.125</v>
      </c>
      <c r="E68" s="283">
        <v>70.22</v>
      </c>
      <c r="F68" s="329">
        <v>3</v>
      </c>
      <c r="G68" s="283">
        <v>0.6</v>
      </c>
      <c r="H68" s="330">
        <v>8.7799999999999994</v>
      </c>
      <c r="I68" s="330">
        <v>0.38</v>
      </c>
      <c r="J68" s="330">
        <v>0.08</v>
      </c>
      <c r="K68" s="331" t="s">
        <v>1371</v>
      </c>
      <c r="L68" s="245"/>
      <c r="M68" s="245"/>
      <c r="N68" s="245"/>
      <c r="O68" s="267"/>
      <c r="P68" s="267"/>
      <c r="Q68" s="267"/>
      <c r="R68" s="332"/>
      <c r="S68" s="245"/>
      <c r="T68" s="289"/>
      <c r="U68" s="245"/>
      <c r="V68" s="245"/>
      <c r="W68" s="245"/>
      <c r="X68" s="245"/>
      <c r="Y68" s="245"/>
      <c r="Z68" s="245"/>
      <c r="AA68" s="245"/>
      <c r="AB68" s="245"/>
    </row>
    <row r="69" spans="1:28" ht="14.1" customHeight="1">
      <c r="A69" s="245"/>
      <c r="B69" s="258"/>
      <c r="C69" s="290" t="s">
        <v>1460</v>
      </c>
      <c r="D69" s="328">
        <v>0.125</v>
      </c>
      <c r="E69" s="283">
        <v>68.02</v>
      </c>
      <c r="F69" s="329">
        <v>3</v>
      </c>
      <c r="G69" s="283">
        <v>0.6</v>
      </c>
      <c r="H69" s="330">
        <v>8.5</v>
      </c>
      <c r="I69" s="330">
        <v>0.38</v>
      </c>
      <c r="J69" s="330">
        <v>0.08</v>
      </c>
      <c r="K69" s="331" t="s">
        <v>1371</v>
      </c>
      <c r="L69" s="245"/>
      <c r="M69" s="245"/>
      <c r="N69" s="245"/>
      <c r="O69" s="267"/>
      <c r="P69" s="267"/>
      <c r="Q69" s="267"/>
      <c r="R69" s="332"/>
      <c r="S69" s="245"/>
      <c r="T69" s="289"/>
      <c r="U69" s="245"/>
      <c r="V69" s="245"/>
      <c r="W69" s="245"/>
      <c r="X69" s="245"/>
      <c r="Y69" s="245"/>
      <c r="Z69" s="245"/>
      <c r="AA69" s="245"/>
      <c r="AB69" s="245"/>
    </row>
    <row r="70" spans="1:28" ht="14.1" customHeight="1">
      <c r="A70" s="245"/>
      <c r="B70" s="258"/>
      <c r="C70" s="290" t="s">
        <v>1461</v>
      </c>
      <c r="D70" s="328">
        <v>0.11</v>
      </c>
      <c r="E70" s="283">
        <v>66.83</v>
      </c>
      <c r="F70" s="329">
        <v>3</v>
      </c>
      <c r="G70" s="283">
        <v>0.6</v>
      </c>
      <c r="H70" s="330">
        <v>7.35</v>
      </c>
      <c r="I70" s="330">
        <v>0.33</v>
      </c>
      <c r="J70" s="330">
        <v>7.0000000000000007E-2</v>
      </c>
      <c r="K70" s="331" t="s">
        <v>1371</v>
      </c>
      <c r="L70" s="245"/>
      <c r="M70" s="245"/>
      <c r="N70" s="245"/>
      <c r="O70" s="267"/>
      <c r="P70" s="267"/>
      <c r="Q70" s="267"/>
      <c r="R70" s="332"/>
      <c r="S70" s="245"/>
      <c r="T70" s="289"/>
      <c r="U70" s="245"/>
      <c r="V70" s="245"/>
      <c r="W70" s="245"/>
      <c r="X70" s="245"/>
      <c r="Y70" s="245"/>
      <c r="Z70" s="245"/>
      <c r="AA70" s="245"/>
      <c r="AB70" s="245"/>
    </row>
    <row r="71" spans="1:28" ht="14.1" customHeight="1">
      <c r="A71" s="245"/>
      <c r="B71" s="258"/>
      <c r="C71" s="290" t="s">
        <v>1462</v>
      </c>
      <c r="D71" s="328">
        <v>0.13900000000000001</v>
      </c>
      <c r="E71" s="283">
        <v>76.22</v>
      </c>
      <c r="F71" s="329">
        <v>3</v>
      </c>
      <c r="G71" s="283">
        <v>0.6</v>
      </c>
      <c r="H71" s="330">
        <v>10.59</v>
      </c>
      <c r="I71" s="330">
        <v>0.42</v>
      </c>
      <c r="J71" s="330">
        <v>0.08</v>
      </c>
      <c r="K71" s="331" t="s">
        <v>1371</v>
      </c>
      <c r="L71" s="245"/>
      <c r="M71" s="245"/>
      <c r="N71" s="245"/>
      <c r="O71" s="267"/>
      <c r="P71" s="267"/>
      <c r="Q71" s="267"/>
      <c r="R71" s="332"/>
      <c r="S71" s="245"/>
      <c r="T71" s="289"/>
      <c r="U71" s="245"/>
      <c r="V71" s="245"/>
      <c r="W71" s="245"/>
      <c r="X71" s="245"/>
      <c r="Y71" s="245"/>
      <c r="Z71" s="245"/>
      <c r="AA71" s="245"/>
      <c r="AB71" s="245"/>
    </row>
    <row r="72" spans="1:28" ht="14.1" customHeight="1">
      <c r="A72" s="245"/>
      <c r="B72" s="258"/>
      <c r="C72" s="290" t="s">
        <v>1463</v>
      </c>
      <c r="D72" s="328">
        <v>0.11</v>
      </c>
      <c r="E72" s="283">
        <v>70.02</v>
      </c>
      <c r="F72" s="329">
        <v>3</v>
      </c>
      <c r="G72" s="283">
        <v>0.6</v>
      </c>
      <c r="H72" s="330">
        <v>7.7</v>
      </c>
      <c r="I72" s="330">
        <v>0.33</v>
      </c>
      <c r="J72" s="330">
        <v>7.0000000000000007E-2</v>
      </c>
      <c r="K72" s="331" t="s">
        <v>1371</v>
      </c>
      <c r="L72" s="245"/>
      <c r="M72" s="245"/>
      <c r="N72" s="245"/>
      <c r="O72" s="267"/>
      <c r="P72" s="267"/>
      <c r="Q72" s="267"/>
      <c r="R72" s="332"/>
      <c r="S72" s="245"/>
      <c r="T72" s="289"/>
      <c r="U72" s="245"/>
      <c r="V72" s="245"/>
      <c r="W72" s="245"/>
      <c r="X72" s="245"/>
      <c r="Y72" s="245"/>
      <c r="Z72" s="245"/>
      <c r="AA72" s="245"/>
      <c r="AB72" s="245"/>
    </row>
    <row r="73" spans="1:28" ht="14.1" customHeight="1">
      <c r="A73" s="245"/>
      <c r="B73" s="258"/>
      <c r="C73" s="290" t="s">
        <v>1464</v>
      </c>
      <c r="D73" s="328">
        <v>0.129</v>
      </c>
      <c r="E73" s="283">
        <v>70.97</v>
      </c>
      <c r="F73" s="329">
        <v>3</v>
      </c>
      <c r="G73" s="283">
        <v>0.6</v>
      </c>
      <c r="H73" s="330">
        <v>9.16</v>
      </c>
      <c r="I73" s="330">
        <v>0.39</v>
      </c>
      <c r="J73" s="330">
        <v>0.08</v>
      </c>
      <c r="K73" s="331" t="s">
        <v>1371</v>
      </c>
      <c r="L73" s="245"/>
      <c r="M73" s="245"/>
      <c r="N73" s="245"/>
      <c r="O73" s="267"/>
      <c r="P73" s="267"/>
      <c r="Q73" s="267"/>
      <c r="R73" s="332"/>
      <c r="S73" s="245"/>
      <c r="T73" s="289"/>
      <c r="U73" s="245"/>
      <c r="V73" s="245"/>
      <c r="W73" s="245"/>
      <c r="X73" s="245"/>
      <c r="Y73" s="245"/>
      <c r="Z73" s="245"/>
      <c r="AA73" s="245"/>
      <c r="AB73" s="245"/>
    </row>
    <row r="74" spans="1:28" ht="14.1" customHeight="1">
      <c r="A74" s="245"/>
      <c r="B74" s="258"/>
      <c r="C74" s="290" t="s">
        <v>1465</v>
      </c>
      <c r="D74" s="328">
        <v>0.14299999999999999</v>
      </c>
      <c r="E74" s="283">
        <v>102.41</v>
      </c>
      <c r="F74" s="329">
        <v>3</v>
      </c>
      <c r="G74" s="283">
        <v>0.6</v>
      </c>
      <c r="H74" s="330">
        <v>14.64</v>
      </c>
      <c r="I74" s="330">
        <v>0.43</v>
      </c>
      <c r="J74" s="330">
        <v>0.09</v>
      </c>
      <c r="K74" s="331" t="s">
        <v>1371</v>
      </c>
      <c r="L74" s="245"/>
      <c r="M74" s="245"/>
      <c r="N74" s="245"/>
      <c r="O74" s="267"/>
      <c r="P74" s="267"/>
      <c r="Q74" s="267"/>
      <c r="R74" s="332"/>
      <c r="S74" s="245"/>
      <c r="T74" s="289"/>
      <c r="U74" s="245"/>
      <c r="V74" s="245"/>
      <c r="W74" s="245"/>
      <c r="X74" s="245"/>
      <c r="Y74" s="245"/>
      <c r="Z74" s="245"/>
      <c r="AA74" s="245"/>
      <c r="AB74" s="245"/>
    </row>
    <row r="75" spans="1:28" ht="14.1" customHeight="1">
      <c r="A75" s="245"/>
      <c r="B75" s="258"/>
      <c r="C75" s="290" t="s">
        <v>1466</v>
      </c>
      <c r="D75" s="328">
        <v>9.0999999999999998E-2</v>
      </c>
      <c r="E75" s="283">
        <v>61.46</v>
      </c>
      <c r="F75" s="329">
        <v>3</v>
      </c>
      <c r="G75" s="283">
        <v>0.6</v>
      </c>
      <c r="H75" s="330">
        <v>5.59</v>
      </c>
      <c r="I75" s="330">
        <v>0.27</v>
      </c>
      <c r="J75" s="330">
        <v>0.05</v>
      </c>
      <c r="K75" s="331" t="s">
        <v>1371</v>
      </c>
      <c r="L75" s="245"/>
      <c r="M75" s="245"/>
      <c r="N75" s="245"/>
      <c r="O75" s="267"/>
      <c r="P75" s="267"/>
      <c r="Q75" s="267"/>
      <c r="R75" s="332"/>
      <c r="S75" s="245"/>
      <c r="T75" s="289"/>
      <c r="U75" s="245"/>
      <c r="V75" s="245"/>
      <c r="W75" s="245"/>
      <c r="X75" s="245"/>
      <c r="Y75" s="245"/>
      <c r="Z75" s="245"/>
      <c r="AA75" s="245"/>
      <c r="AB75" s="245"/>
    </row>
    <row r="76" spans="1:28" ht="14.1" customHeight="1">
      <c r="A76" s="245"/>
      <c r="B76" s="258"/>
      <c r="C76" s="290" t="s">
        <v>1467</v>
      </c>
      <c r="D76" s="328">
        <v>9.0999999999999998E-2</v>
      </c>
      <c r="E76" s="283">
        <v>65.95</v>
      </c>
      <c r="F76" s="329">
        <v>3</v>
      </c>
      <c r="G76" s="283">
        <v>0.6</v>
      </c>
      <c r="H76" s="330">
        <v>6</v>
      </c>
      <c r="I76" s="330">
        <v>0.27</v>
      </c>
      <c r="J76" s="330">
        <v>0.05</v>
      </c>
      <c r="K76" s="331" t="s">
        <v>1371</v>
      </c>
      <c r="L76" s="245"/>
      <c r="M76" s="245"/>
      <c r="N76" s="245"/>
      <c r="O76" s="267"/>
      <c r="P76" s="267"/>
      <c r="Q76" s="267"/>
      <c r="R76" s="332"/>
      <c r="S76" s="245"/>
      <c r="T76" s="289"/>
      <c r="U76" s="245"/>
      <c r="V76" s="245"/>
      <c r="W76" s="245"/>
      <c r="X76" s="245"/>
      <c r="Y76" s="245"/>
      <c r="Z76" s="245"/>
      <c r="AA76" s="245"/>
      <c r="AB76" s="245"/>
    </row>
    <row r="77" spans="1:28" ht="14.1" customHeight="1">
      <c r="A77" s="245"/>
      <c r="B77" s="258"/>
      <c r="C77" s="290" t="s">
        <v>1468</v>
      </c>
      <c r="D77" s="328">
        <v>0.14000000000000001</v>
      </c>
      <c r="E77" s="283">
        <v>72.930000000000007</v>
      </c>
      <c r="F77" s="329">
        <v>3</v>
      </c>
      <c r="G77" s="283">
        <v>0.6</v>
      </c>
      <c r="H77" s="330">
        <v>10.210000000000001</v>
      </c>
      <c r="I77" s="330">
        <v>0.42</v>
      </c>
      <c r="J77" s="330">
        <v>0.08</v>
      </c>
      <c r="K77" s="331" t="s">
        <v>1371</v>
      </c>
      <c r="L77" s="245"/>
      <c r="M77" s="245"/>
      <c r="N77" s="245"/>
      <c r="O77" s="267"/>
      <c r="P77" s="267"/>
      <c r="Q77" s="267"/>
      <c r="R77" s="332"/>
      <c r="S77" s="245"/>
      <c r="T77" s="289"/>
      <c r="U77" s="245"/>
      <c r="V77" s="245"/>
      <c r="W77" s="245"/>
      <c r="X77" s="245"/>
      <c r="Y77" s="245"/>
      <c r="Z77" s="245"/>
      <c r="AA77" s="245"/>
      <c r="AB77" s="245"/>
    </row>
    <row r="78" spans="1:28" ht="14.1" customHeight="1">
      <c r="A78" s="245"/>
      <c r="B78" s="258"/>
      <c r="C78" s="290" t="s">
        <v>1469</v>
      </c>
      <c r="D78" s="328">
        <v>0.15</v>
      </c>
      <c r="E78" s="283">
        <v>75.099999999999994</v>
      </c>
      <c r="F78" s="329">
        <v>3</v>
      </c>
      <c r="G78" s="283">
        <v>0.6</v>
      </c>
      <c r="H78" s="330">
        <v>11.27</v>
      </c>
      <c r="I78" s="330">
        <v>0.45</v>
      </c>
      <c r="J78" s="330">
        <v>0.09</v>
      </c>
      <c r="K78" s="331" t="s">
        <v>1371</v>
      </c>
      <c r="L78" s="245"/>
      <c r="M78" s="245"/>
      <c r="N78" s="245"/>
      <c r="O78" s="267"/>
      <c r="P78" s="267"/>
      <c r="Q78" s="267"/>
      <c r="R78" s="332"/>
      <c r="S78" s="245"/>
      <c r="T78" s="289"/>
      <c r="U78" s="245"/>
      <c r="V78" s="245"/>
      <c r="W78" s="245"/>
      <c r="X78" s="245"/>
      <c r="Y78" s="245"/>
      <c r="Z78" s="245"/>
      <c r="AA78" s="245"/>
      <c r="AB78" s="245"/>
    </row>
    <row r="79" spans="1:28" ht="14.1" customHeight="1">
      <c r="A79" s="245"/>
      <c r="B79" s="258"/>
      <c r="C79" s="290" t="s">
        <v>1470</v>
      </c>
      <c r="D79" s="328">
        <v>0.125</v>
      </c>
      <c r="E79" s="283">
        <v>72.34</v>
      </c>
      <c r="F79" s="329">
        <v>3</v>
      </c>
      <c r="G79" s="283">
        <v>0.6</v>
      </c>
      <c r="H79" s="330">
        <v>9.0399999999999991</v>
      </c>
      <c r="I79" s="330">
        <v>0.38</v>
      </c>
      <c r="J79" s="330">
        <v>0.08</v>
      </c>
      <c r="K79" s="331" t="s">
        <v>1371</v>
      </c>
      <c r="L79" s="245"/>
      <c r="M79" s="245"/>
      <c r="N79" s="245"/>
      <c r="O79" s="267"/>
      <c r="P79" s="267"/>
      <c r="Q79" s="267"/>
      <c r="R79" s="332"/>
      <c r="S79" s="245"/>
      <c r="T79" s="289"/>
      <c r="U79" s="245"/>
      <c r="V79" s="245"/>
      <c r="W79" s="245"/>
      <c r="X79" s="245"/>
      <c r="Y79" s="245"/>
      <c r="Z79" s="245"/>
      <c r="AA79" s="245"/>
      <c r="AB79" s="245"/>
    </row>
    <row r="80" spans="1:28" ht="14.1" customHeight="1">
      <c r="A80" s="245"/>
      <c r="B80" s="258"/>
      <c r="C80" s="290" t="s">
        <v>1471</v>
      </c>
      <c r="D80" s="328">
        <v>0.14299999999999999</v>
      </c>
      <c r="E80" s="283">
        <v>66.72</v>
      </c>
      <c r="F80" s="329">
        <v>3</v>
      </c>
      <c r="G80" s="283">
        <v>0.6</v>
      </c>
      <c r="H80" s="330">
        <v>9.5399999999999991</v>
      </c>
      <c r="I80" s="330">
        <v>0.43</v>
      </c>
      <c r="J80" s="330">
        <v>0.09</v>
      </c>
      <c r="K80" s="331" t="s">
        <v>1371</v>
      </c>
      <c r="L80" s="245"/>
      <c r="M80" s="245"/>
      <c r="N80" s="245"/>
      <c r="O80" s="267"/>
      <c r="P80" s="267"/>
      <c r="Q80" s="267"/>
      <c r="R80" s="332"/>
      <c r="S80" s="245"/>
      <c r="T80" s="289"/>
      <c r="U80" s="245"/>
      <c r="V80" s="245"/>
      <c r="W80" s="245"/>
      <c r="X80" s="245"/>
      <c r="Y80" s="245"/>
      <c r="Z80" s="245"/>
      <c r="AA80" s="245"/>
      <c r="AB80" s="245"/>
    </row>
    <row r="81" spans="1:28" ht="14.1" customHeight="1">
      <c r="A81" s="245"/>
      <c r="B81" s="258"/>
      <c r="C81" s="290" t="s">
        <v>1472</v>
      </c>
      <c r="D81" s="328">
        <v>0.13900000000000001</v>
      </c>
      <c r="E81" s="283">
        <v>74.489999999999995</v>
      </c>
      <c r="F81" s="329">
        <v>3</v>
      </c>
      <c r="G81" s="283">
        <v>0.6</v>
      </c>
      <c r="H81" s="330">
        <v>10.35</v>
      </c>
      <c r="I81" s="330">
        <v>0.42</v>
      </c>
      <c r="J81" s="330">
        <v>0.08</v>
      </c>
      <c r="K81" s="331" t="s">
        <v>1371</v>
      </c>
      <c r="L81" s="245"/>
      <c r="M81" s="245"/>
      <c r="N81" s="245"/>
      <c r="O81" s="267"/>
      <c r="P81" s="267"/>
      <c r="Q81" s="267"/>
      <c r="R81" s="332"/>
      <c r="S81" s="245"/>
      <c r="T81" s="289"/>
      <c r="U81" s="245"/>
      <c r="V81" s="245"/>
      <c r="W81" s="245"/>
      <c r="X81" s="245"/>
      <c r="Y81" s="245"/>
      <c r="Z81" s="245"/>
      <c r="AA81" s="245"/>
      <c r="AB81" s="245"/>
    </row>
    <row r="82" spans="1:28" ht="14.1" customHeight="1">
      <c r="A82" s="245"/>
      <c r="B82" s="258"/>
      <c r="C82" s="290" t="s">
        <v>1473</v>
      </c>
      <c r="D82" s="328">
        <v>0.13500000000000001</v>
      </c>
      <c r="E82" s="283">
        <v>74</v>
      </c>
      <c r="F82" s="329">
        <v>3</v>
      </c>
      <c r="G82" s="283">
        <v>0.6</v>
      </c>
      <c r="H82" s="330">
        <v>9.99</v>
      </c>
      <c r="I82" s="330">
        <v>0.41</v>
      </c>
      <c r="J82" s="330">
        <v>0.08</v>
      </c>
      <c r="K82" s="331" t="s">
        <v>1371</v>
      </c>
      <c r="L82" s="245"/>
      <c r="M82" s="245"/>
      <c r="N82" s="245"/>
      <c r="O82" s="267"/>
      <c r="P82" s="267"/>
      <c r="Q82" s="267"/>
      <c r="R82" s="332"/>
      <c r="S82" s="245"/>
      <c r="T82" s="289"/>
      <c r="U82" s="245"/>
      <c r="V82" s="245"/>
      <c r="W82" s="245"/>
      <c r="X82" s="245"/>
      <c r="Y82" s="245"/>
      <c r="Z82" s="245"/>
      <c r="AA82" s="245"/>
      <c r="AB82" s="245"/>
    </row>
    <row r="83" spans="1:28" s="266" customFormat="1" ht="14.1" customHeight="1">
      <c r="A83" s="259"/>
      <c r="B83" s="248"/>
      <c r="C83" s="325" t="s">
        <v>1474</v>
      </c>
      <c r="D83" s="326"/>
      <c r="E83" s="333"/>
      <c r="F83" s="326"/>
      <c r="G83" s="326"/>
      <c r="H83" s="334"/>
      <c r="I83" s="334"/>
      <c r="J83" s="334"/>
      <c r="K83" s="335"/>
      <c r="L83" s="245"/>
      <c r="M83" s="245"/>
      <c r="N83" s="245"/>
      <c r="O83" s="267"/>
      <c r="P83" s="267"/>
      <c r="Q83" s="267"/>
      <c r="R83" s="336"/>
      <c r="S83" s="259"/>
      <c r="T83" s="337"/>
      <c r="U83" s="259"/>
      <c r="V83" s="259"/>
      <c r="W83" s="259"/>
      <c r="X83" s="259"/>
      <c r="Y83" s="259"/>
      <c r="Z83" s="259"/>
      <c r="AA83" s="259"/>
      <c r="AB83" s="259"/>
    </row>
    <row r="84" spans="1:28" ht="14.1" customHeight="1">
      <c r="A84" s="245"/>
      <c r="B84" s="258"/>
      <c r="C84" s="290" t="s">
        <v>1475</v>
      </c>
      <c r="D84" s="328">
        <v>0.128</v>
      </c>
      <c r="E84" s="283">
        <v>73.84</v>
      </c>
      <c r="F84" s="329">
        <v>1.1000000000000001</v>
      </c>
      <c r="G84" s="296">
        <v>0.11</v>
      </c>
      <c r="H84" s="330">
        <v>9.4499999999999993</v>
      </c>
      <c r="I84" s="330">
        <v>0.14000000000000001</v>
      </c>
      <c r="J84" s="330">
        <v>0.01</v>
      </c>
      <c r="K84" s="331" t="s">
        <v>1371</v>
      </c>
      <c r="L84" s="245"/>
      <c r="M84" s="245"/>
      <c r="N84" s="245"/>
      <c r="O84" s="267"/>
      <c r="P84" s="267"/>
      <c r="Q84" s="267"/>
      <c r="R84" s="332"/>
      <c r="S84" s="245"/>
      <c r="T84" s="289"/>
      <c r="U84" s="245"/>
      <c r="V84" s="245"/>
      <c r="W84" s="245"/>
      <c r="X84" s="245"/>
      <c r="Y84" s="245"/>
      <c r="Z84" s="245"/>
      <c r="AA84" s="245"/>
      <c r="AB84" s="245"/>
    </row>
    <row r="85" spans="1:28" ht="14.1" customHeight="1">
      <c r="A85" s="245"/>
      <c r="B85" s="258"/>
      <c r="C85" s="290" t="s">
        <v>1476</v>
      </c>
      <c r="D85" s="328">
        <v>8.4000000000000005E-2</v>
      </c>
      <c r="E85" s="283">
        <v>68.44</v>
      </c>
      <c r="F85" s="329">
        <v>1.1000000000000001</v>
      </c>
      <c r="G85" s="296">
        <v>0.11</v>
      </c>
      <c r="H85" s="330">
        <v>5.75</v>
      </c>
      <c r="I85" s="330">
        <v>0.09</v>
      </c>
      <c r="J85" s="330">
        <v>0.01</v>
      </c>
      <c r="K85" s="331" t="s">
        <v>1371</v>
      </c>
      <c r="L85" s="245"/>
      <c r="M85" s="245"/>
      <c r="N85" s="245"/>
      <c r="O85" s="267"/>
      <c r="P85" s="267"/>
      <c r="Q85" s="267"/>
      <c r="R85" s="332"/>
      <c r="S85" s="245"/>
      <c r="T85" s="289"/>
      <c r="U85" s="245"/>
      <c r="V85" s="245"/>
      <c r="W85" s="245"/>
      <c r="X85" s="245"/>
      <c r="Y85" s="245"/>
      <c r="Z85" s="245"/>
      <c r="AA85" s="245"/>
      <c r="AB85" s="245"/>
    </row>
    <row r="86" spans="1:28" ht="14.1" customHeight="1">
      <c r="A86" s="245"/>
      <c r="B86" s="258"/>
      <c r="C86" s="290" t="s">
        <v>1477</v>
      </c>
      <c r="D86" s="328">
        <v>0.125</v>
      </c>
      <c r="E86" s="283">
        <v>71.06</v>
      </c>
      <c r="F86" s="329">
        <v>1.1000000000000001</v>
      </c>
      <c r="G86" s="296">
        <v>0.11</v>
      </c>
      <c r="H86" s="330">
        <v>8.8800000000000008</v>
      </c>
      <c r="I86" s="330">
        <v>0.14000000000000001</v>
      </c>
      <c r="J86" s="330">
        <v>0.01</v>
      </c>
      <c r="K86" s="331" t="s">
        <v>1371</v>
      </c>
      <c r="L86" s="245"/>
      <c r="M86" s="245"/>
      <c r="N86" s="245"/>
      <c r="O86" s="267"/>
      <c r="P86" s="267"/>
      <c r="Q86" s="267"/>
      <c r="R86" s="332"/>
      <c r="S86" s="245"/>
      <c r="T86" s="289"/>
      <c r="U86" s="245"/>
      <c r="V86" s="245"/>
      <c r="W86" s="245"/>
      <c r="X86" s="245"/>
      <c r="Y86" s="245"/>
      <c r="Z86" s="245"/>
      <c r="AA86" s="245"/>
      <c r="AB86" s="245"/>
    </row>
    <row r="87" spans="1:28" ht="14.1" customHeight="1">
      <c r="A87" s="245"/>
      <c r="B87" s="258"/>
      <c r="C87" s="290" t="s">
        <v>1478</v>
      </c>
      <c r="D87" s="328">
        <v>0.12</v>
      </c>
      <c r="E87" s="283">
        <v>81.55</v>
      </c>
      <c r="F87" s="329">
        <v>1.1000000000000001</v>
      </c>
      <c r="G87" s="296">
        <v>0.11</v>
      </c>
      <c r="H87" s="330">
        <v>9.7899999999999991</v>
      </c>
      <c r="I87" s="330">
        <v>0.13</v>
      </c>
      <c r="J87" s="330">
        <v>0.01</v>
      </c>
      <c r="K87" s="331" t="s">
        <v>1371</v>
      </c>
      <c r="L87" s="245"/>
      <c r="M87" s="245"/>
      <c r="N87" s="245"/>
      <c r="O87" s="267"/>
      <c r="P87" s="267"/>
      <c r="Q87" s="267"/>
      <c r="R87" s="332"/>
      <c r="S87" s="245"/>
      <c r="T87" s="289"/>
      <c r="U87" s="245"/>
      <c r="V87" s="245"/>
      <c r="W87" s="245"/>
      <c r="X87" s="245"/>
      <c r="Y87" s="245"/>
      <c r="Z87" s="245"/>
      <c r="AA87" s="245"/>
      <c r="AB87" s="245"/>
    </row>
    <row r="88" spans="1:28" ht="27" customHeight="1">
      <c r="A88" s="245"/>
      <c r="B88" s="246"/>
      <c r="C88" s="274"/>
      <c r="D88" s="338" t="s">
        <v>1438</v>
      </c>
      <c r="E88" s="339" t="s">
        <v>1397</v>
      </c>
      <c r="F88" s="275" t="s">
        <v>1398</v>
      </c>
      <c r="G88" s="275" t="s">
        <v>1399</v>
      </c>
      <c r="H88" s="340"/>
      <c r="I88" s="341"/>
      <c r="J88" s="341"/>
      <c r="K88" s="342"/>
      <c r="L88" s="245"/>
      <c r="M88" s="245"/>
      <c r="N88" s="245"/>
      <c r="O88" s="267"/>
      <c r="P88" s="267"/>
      <c r="Q88" s="267"/>
      <c r="R88" s="245"/>
      <c r="S88" s="245"/>
      <c r="T88" s="245"/>
      <c r="U88" s="245"/>
      <c r="V88" s="245"/>
      <c r="W88" s="245"/>
      <c r="X88" s="245"/>
      <c r="Y88" s="245"/>
      <c r="Z88" s="245"/>
      <c r="AA88" s="245"/>
      <c r="AB88" s="245"/>
    </row>
    <row r="89" spans="1:28" ht="14.1" customHeight="1">
      <c r="A89" s="245"/>
      <c r="B89" s="246"/>
      <c r="C89" s="343" t="s">
        <v>1479</v>
      </c>
      <c r="D89" s="344"/>
      <c r="E89" s="345"/>
      <c r="F89" s="344"/>
      <c r="G89" s="344"/>
      <c r="H89" s="346"/>
      <c r="I89" s="346"/>
      <c r="J89" s="346"/>
      <c r="K89" s="335"/>
      <c r="L89" s="245"/>
      <c r="M89" s="245"/>
      <c r="N89" s="245"/>
      <c r="O89" s="267"/>
      <c r="P89" s="267"/>
      <c r="Q89" s="267"/>
      <c r="R89" s="245"/>
      <c r="S89" s="245"/>
      <c r="T89" s="245"/>
      <c r="U89" s="245"/>
      <c r="V89" s="245"/>
      <c r="W89" s="245"/>
      <c r="X89" s="245"/>
      <c r="Y89" s="245"/>
      <c r="Z89" s="245"/>
      <c r="AA89" s="245"/>
      <c r="AB89" s="245"/>
    </row>
    <row r="90" spans="1:28" s="266" customFormat="1" ht="14.1" customHeight="1" thickBot="1">
      <c r="A90" s="259"/>
      <c r="B90" s="248"/>
      <c r="C90" s="347" t="s">
        <v>1479</v>
      </c>
      <c r="D90" s="348"/>
      <c r="E90" s="349">
        <v>88.18</v>
      </c>
      <c r="F90" s="350">
        <v>8.1690000000000005</v>
      </c>
      <c r="G90" s="350">
        <v>0.60299999999999998</v>
      </c>
      <c r="H90" s="351"/>
      <c r="I90" s="352"/>
      <c r="J90" s="353"/>
      <c r="K90" s="354" t="s">
        <v>1480</v>
      </c>
      <c r="L90" s="245"/>
      <c r="M90" s="245"/>
      <c r="N90" s="245"/>
      <c r="O90" s="267"/>
      <c r="P90" s="267"/>
      <c r="Q90" s="267"/>
      <c r="R90" s="259"/>
      <c r="S90" s="259"/>
      <c r="T90" s="259"/>
      <c r="U90" s="259"/>
      <c r="V90" s="259"/>
      <c r="W90" s="259"/>
      <c r="X90" s="259"/>
      <c r="Y90" s="259"/>
      <c r="Z90" s="259"/>
      <c r="AA90" s="259"/>
      <c r="AB90" s="259"/>
    </row>
    <row r="91" spans="1:28" s="266" customFormat="1" ht="14.1" customHeight="1">
      <c r="A91" s="259"/>
      <c r="B91" s="248"/>
      <c r="C91" s="355" t="s">
        <v>1481</v>
      </c>
      <c r="D91" s="356"/>
      <c r="E91" s="356"/>
      <c r="F91" s="356"/>
      <c r="G91" s="356"/>
      <c r="H91" s="356"/>
      <c r="I91" s="356"/>
      <c r="J91" s="356"/>
      <c r="K91" s="356"/>
      <c r="L91" s="259"/>
      <c r="M91" s="259"/>
      <c r="N91" s="357"/>
      <c r="O91" s="259"/>
      <c r="P91" s="259"/>
      <c r="Q91" s="259"/>
      <c r="R91" s="259"/>
      <c r="S91" s="259"/>
      <c r="T91" s="259"/>
      <c r="U91" s="259"/>
      <c r="V91" s="259"/>
      <c r="W91" s="259"/>
      <c r="X91" s="259"/>
      <c r="Y91" s="259"/>
      <c r="Z91" s="259"/>
      <c r="AA91" s="259"/>
      <c r="AB91" s="259"/>
    </row>
    <row r="92" spans="1:28" ht="24.75" customHeight="1">
      <c r="A92" s="245"/>
      <c r="B92" s="246"/>
      <c r="C92" s="1023" t="s">
        <v>1482</v>
      </c>
      <c r="D92" s="1023"/>
      <c r="E92" s="1023"/>
      <c r="F92" s="1023"/>
      <c r="G92" s="1023"/>
      <c r="H92" s="1023"/>
      <c r="I92" s="1023"/>
      <c r="J92" s="1023"/>
      <c r="K92" s="1023"/>
      <c r="L92" s="245"/>
      <c r="M92" s="245"/>
      <c r="N92" s="357"/>
      <c r="O92" s="245"/>
      <c r="P92" s="245"/>
      <c r="Q92" s="245"/>
      <c r="R92" s="245"/>
      <c r="S92" s="245"/>
      <c r="T92" s="245"/>
      <c r="U92" s="245"/>
      <c r="V92" s="245"/>
      <c r="W92" s="245"/>
      <c r="X92" s="245"/>
      <c r="Y92" s="245"/>
      <c r="Z92" s="245"/>
      <c r="AA92" s="245"/>
      <c r="AB92" s="245"/>
    </row>
    <row r="93" spans="1:28">
      <c r="A93" s="245"/>
      <c r="B93" s="246"/>
      <c r="C93" s="255" t="s">
        <v>1483</v>
      </c>
      <c r="D93" s="245"/>
      <c r="E93" s="245"/>
      <c r="F93" s="245"/>
      <c r="G93" s="245"/>
      <c r="H93" s="245"/>
      <c r="I93" s="245"/>
      <c r="J93" s="245"/>
      <c r="K93" s="245"/>
      <c r="L93" s="245"/>
      <c r="M93" s="245"/>
      <c r="N93" s="357"/>
      <c r="O93" s="332"/>
      <c r="P93" s="358"/>
      <c r="Q93" s="358"/>
      <c r="R93" s="332"/>
      <c r="S93" s="245"/>
      <c r="T93" s="289"/>
      <c r="U93" s="245"/>
      <c r="V93" s="245"/>
      <c r="W93" s="245"/>
      <c r="X93" s="245"/>
      <c r="Y93" s="245"/>
      <c r="Z93" s="245"/>
      <c r="AA93" s="245"/>
      <c r="AB93" s="245"/>
    </row>
    <row r="94" spans="1:28" ht="14.1" customHeight="1">
      <c r="A94" s="245"/>
      <c r="B94" s="246"/>
      <c r="C94" s="255"/>
      <c r="D94" s="245"/>
      <c r="E94" s="245"/>
      <c r="F94" s="245"/>
      <c r="G94" s="245"/>
      <c r="H94" s="245"/>
      <c r="I94" s="245"/>
      <c r="J94" s="245"/>
      <c r="K94" s="245"/>
      <c r="L94" s="245"/>
      <c r="M94" s="245"/>
      <c r="N94" s="357"/>
      <c r="O94" s="332"/>
      <c r="P94" s="358"/>
      <c r="Q94" s="358"/>
      <c r="R94" s="332"/>
      <c r="S94" s="245"/>
      <c r="T94" s="289"/>
      <c r="U94" s="245"/>
      <c r="V94" s="245"/>
      <c r="W94" s="245"/>
      <c r="X94" s="245"/>
      <c r="Y94" s="245"/>
      <c r="Z94" s="245"/>
      <c r="AA94" s="245"/>
      <c r="AB94" s="245"/>
    </row>
    <row r="95" spans="1:28" ht="14.1" customHeight="1">
      <c r="A95" s="245"/>
      <c r="B95" s="246"/>
      <c r="C95" s="245"/>
      <c r="D95" s="245"/>
      <c r="E95" s="245"/>
      <c r="F95" s="245"/>
      <c r="G95" s="359"/>
      <c r="H95" s="245"/>
      <c r="I95" s="245"/>
      <c r="J95" s="245"/>
      <c r="K95" s="245"/>
      <c r="L95" s="245"/>
      <c r="M95" s="245"/>
      <c r="N95" s="245"/>
      <c r="O95" s="245"/>
      <c r="P95" s="245"/>
      <c r="Q95" s="245"/>
      <c r="R95" s="245"/>
      <c r="S95" s="245"/>
      <c r="T95" s="245"/>
      <c r="U95" s="245"/>
      <c r="V95" s="245"/>
      <c r="W95" s="245"/>
      <c r="X95" s="245"/>
      <c r="Y95" s="245"/>
      <c r="Z95" s="245"/>
      <c r="AA95" s="245"/>
      <c r="AB95" s="245"/>
    </row>
    <row r="96" spans="1:28" s="266" customFormat="1" ht="18" customHeight="1">
      <c r="A96" s="259"/>
      <c r="B96" s="260" t="s">
        <v>1484</v>
      </c>
      <c r="C96" s="261" t="s">
        <v>1485</v>
      </c>
      <c r="D96" s="261"/>
      <c r="E96" s="262"/>
      <c r="F96" s="262"/>
      <c r="G96" s="263"/>
      <c r="H96" s="263"/>
      <c r="I96" s="263"/>
      <c r="J96" s="263"/>
      <c r="K96" s="263"/>
      <c r="L96" s="264"/>
      <c r="M96" s="259"/>
      <c r="N96" s="259"/>
      <c r="O96" s="259"/>
      <c r="P96" s="259"/>
      <c r="Q96" s="259"/>
      <c r="R96" s="259"/>
      <c r="S96" s="259"/>
      <c r="T96" s="259"/>
      <c r="U96" s="259"/>
      <c r="V96" s="259"/>
      <c r="W96" s="259"/>
      <c r="X96" s="259"/>
      <c r="Y96" s="259"/>
      <c r="Z96" s="259"/>
      <c r="AA96" s="259"/>
      <c r="AB96" s="259"/>
    </row>
    <row r="97" spans="1:28" ht="14.1" customHeight="1" thickBot="1">
      <c r="A97" s="245"/>
      <c r="B97" s="246"/>
      <c r="C97" s="245"/>
      <c r="D97" s="245"/>
      <c r="E97" s="245"/>
      <c r="F97" s="245"/>
      <c r="G97" s="245"/>
      <c r="H97" s="245"/>
      <c r="I97" s="245"/>
      <c r="J97" s="245"/>
      <c r="K97" s="245"/>
      <c r="L97" s="245"/>
      <c r="M97" s="245"/>
      <c r="N97" s="245"/>
      <c r="O97" s="245"/>
      <c r="P97" s="245"/>
      <c r="Q97" s="245"/>
      <c r="R97" s="245"/>
      <c r="S97" s="245"/>
      <c r="T97" s="245"/>
      <c r="U97" s="245"/>
      <c r="V97" s="245"/>
      <c r="W97" s="245"/>
      <c r="X97" s="245"/>
      <c r="Y97" s="245"/>
      <c r="Z97" s="245"/>
      <c r="AA97" s="245"/>
      <c r="AB97" s="245"/>
    </row>
    <row r="98" spans="1:28" s="365" customFormat="1" ht="18" customHeight="1" thickBot="1">
      <c r="A98" s="248"/>
      <c r="B98" s="248"/>
      <c r="C98" s="360" t="s">
        <v>1391</v>
      </c>
      <c r="D98" s="361" t="s">
        <v>1486</v>
      </c>
      <c r="E98" s="362" t="s">
        <v>788</v>
      </c>
      <c r="F98" s="363"/>
      <c r="G98" s="363"/>
      <c r="H98" s="364"/>
      <c r="I98" s="364"/>
      <c r="J98" s="364"/>
      <c r="K98" s="363"/>
      <c r="L98" s="248"/>
      <c r="M98" s="248"/>
      <c r="N98" s="245"/>
      <c r="O98" s="245"/>
      <c r="P98" s="245"/>
      <c r="Q98" s="245"/>
      <c r="R98" s="245"/>
      <c r="S98" s="245"/>
      <c r="T98" s="245"/>
      <c r="U98" s="245"/>
      <c r="V98" s="248"/>
      <c r="W98" s="248"/>
      <c r="X98" s="248"/>
      <c r="Y98" s="248"/>
      <c r="Z98" s="248"/>
      <c r="AA98" s="248"/>
      <c r="AB98" s="248"/>
    </row>
    <row r="99" spans="1:28" ht="14.1" customHeight="1">
      <c r="A99" s="245"/>
      <c r="B99" s="246"/>
      <c r="C99" s="366" t="s">
        <v>1444</v>
      </c>
      <c r="D99" s="367">
        <v>8.31</v>
      </c>
      <c r="E99" s="254" t="s">
        <v>1371</v>
      </c>
      <c r="F99" s="368"/>
      <c r="G99" s="364"/>
      <c r="H99" s="364"/>
      <c r="I99" s="364"/>
      <c r="J99" s="364"/>
      <c r="K99" s="268"/>
      <c r="L99" s="268"/>
      <c r="M99" s="245"/>
      <c r="N99" s="245"/>
      <c r="O99" s="245"/>
      <c r="P99" s="245"/>
      <c r="Q99" s="245"/>
      <c r="R99" s="245"/>
      <c r="S99" s="245"/>
      <c r="T99" s="245"/>
      <c r="U99" s="245"/>
      <c r="V99" s="245"/>
      <c r="W99" s="245"/>
      <c r="X99" s="245"/>
      <c r="Y99" s="245"/>
      <c r="Z99" s="245"/>
      <c r="AA99" s="245"/>
      <c r="AB99" s="245"/>
    </row>
    <row r="100" spans="1:28" ht="14.1" customHeight="1">
      <c r="A100" s="245"/>
      <c r="B100" s="246"/>
      <c r="C100" s="369" t="s">
        <v>1487</v>
      </c>
      <c r="D100" s="370">
        <v>9.4499999999999993</v>
      </c>
      <c r="E100" s="331" t="s">
        <v>1371</v>
      </c>
      <c r="F100" s="368"/>
      <c r="G100" s="364"/>
      <c r="H100" s="364"/>
      <c r="I100" s="364"/>
      <c r="J100" s="364"/>
      <c r="K100" s="268"/>
      <c r="L100" s="268"/>
      <c r="M100" s="245"/>
      <c r="N100" s="245"/>
      <c r="O100" s="245"/>
      <c r="P100" s="245"/>
      <c r="Q100" s="245"/>
      <c r="R100" s="245"/>
      <c r="S100" s="245"/>
      <c r="T100" s="245"/>
      <c r="U100" s="245"/>
      <c r="V100" s="245"/>
      <c r="W100" s="245"/>
      <c r="X100" s="245"/>
      <c r="Y100" s="245"/>
      <c r="Z100" s="245"/>
      <c r="AA100" s="245"/>
      <c r="AB100" s="245"/>
    </row>
    <row r="101" spans="1:28" ht="14.1" customHeight="1">
      <c r="A101" s="245"/>
      <c r="B101" s="246"/>
      <c r="C101" s="369" t="s">
        <v>1488</v>
      </c>
      <c r="D101" s="371">
        <v>5.45E-2</v>
      </c>
      <c r="E101" s="331" t="s">
        <v>1430</v>
      </c>
      <c r="F101" s="368"/>
      <c r="G101" s="364"/>
      <c r="H101" s="364"/>
      <c r="I101" s="364"/>
      <c r="J101" s="364"/>
      <c r="K101" s="268"/>
      <c r="L101" s="268"/>
      <c r="M101" s="245"/>
      <c r="N101" s="245"/>
      <c r="O101" s="245"/>
      <c r="P101" s="245"/>
      <c r="Q101" s="245"/>
      <c r="R101" s="245"/>
      <c r="S101" s="245"/>
      <c r="T101" s="245"/>
      <c r="U101" s="245"/>
      <c r="V101" s="245"/>
      <c r="W101" s="245"/>
      <c r="X101" s="245"/>
      <c r="Y101" s="245"/>
      <c r="Z101" s="245"/>
      <c r="AA101" s="245"/>
      <c r="AB101" s="245"/>
    </row>
    <row r="102" spans="1:28" ht="14.1" customHeight="1">
      <c r="A102" s="245"/>
      <c r="B102" s="258"/>
      <c r="C102" s="369" t="s">
        <v>1489</v>
      </c>
      <c r="D102" s="370">
        <v>10.210000000000001</v>
      </c>
      <c r="E102" s="287" t="s">
        <v>1371</v>
      </c>
      <c r="F102" s="245"/>
      <c r="G102" s="245"/>
      <c r="H102" s="364"/>
      <c r="I102" s="364"/>
      <c r="J102" s="364"/>
      <c r="K102" s="268"/>
      <c r="L102" s="268"/>
      <c r="M102" s="245"/>
      <c r="N102" s="245"/>
      <c r="O102" s="245"/>
      <c r="P102" s="245"/>
      <c r="Q102" s="245"/>
      <c r="R102" s="245"/>
      <c r="S102" s="245"/>
      <c r="T102" s="245"/>
      <c r="U102" s="245"/>
      <c r="V102" s="245"/>
      <c r="W102" s="245"/>
      <c r="X102" s="245"/>
      <c r="Y102" s="245"/>
      <c r="Z102" s="245"/>
      <c r="AA102" s="245"/>
      <c r="AB102" s="245"/>
    </row>
    <row r="103" spans="1:28" ht="14.1" customHeight="1">
      <c r="A103" s="245"/>
      <c r="B103" s="246"/>
      <c r="C103" s="369" t="s">
        <v>1451</v>
      </c>
      <c r="D103" s="370">
        <v>4.32</v>
      </c>
      <c r="E103" s="331" t="s">
        <v>1371</v>
      </c>
      <c r="F103" s="368"/>
      <c r="G103" s="364"/>
      <c r="H103" s="364"/>
      <c r="I103" s="364"/>
      <c r="J103" s="364"/>
      <c r="K103" s="268"/>
      <c r="L103" s="268"/>
      <c r="M103" s="245"/>
      <c r="N103" s="245"/>
      <c r="O103" s="245"/>
      <c r="P103" s="245"/>
      <c r="Q103" s="245"/>
      <c r="R103" s="245"/>
      <c r="S103" s="245"/>
      <c r="T103" s="245"/>
      <c r="U103" s="245"/>
      <c r="V103" s="245"/>
      <c r="W103" s="245"/>
      <c r="X103" s="245"/>
      <c r="Y103" s="245"/>
      <c r="Z103" s="245"/>
      <c r="AA103" s="245"/>
      <c r="AB103" s="245"/>
    </row>
    <row r="104" spans="1:28" ht="14.1" customHeight="1">
      <c r="A104" s="245"/>
      <c r="B104" s="246"/>
      <c r="C104" s="369" t="s">
        <v>1490</v>
      </c>
      <c r="D104" s="370">
        <v>5.75</v>
      </c>
      <c r="E104" s="331" t="s">
        <v>1371</v>
      </c>
      <c r="F104" s="368"/>
      <c r="G104" s="364"/>
      <c r="H104" s="364"/>
      <c r="I104" s="364"/>
      <c r="J104" s="364"/>
      <c r="K104" s="268"/>
      <c r="L104" s="268"/>
      <c r="M104" s="245"/>
      <c r="N104" s="245"/>
      <c r="O104" s="245"/>
      <c r="P104" s="245"/>
      <c r="Q104" s="245"/>
      <c r="R104" s="245"/>
      <c r="S104" s="245"/>
      <c r="T104" s="245"/>
      <c r="U104" s="245"/>
      <c r="V104" s="245"/>
      <c r="W104" s="245"/>
      <c r="X104" s="245"/>
      <c r="Y104" s="245"/>
      <c r="Z104" s="245"/>
      <c r="AA104" s="245"/>
      <c r="AB104" s="245"/>
    </row>
    <row r="105" spans="1:28" ht="14.1" customHeight="1">
      <c r="A105" s="245"/>
      <c r="B105" s="246"/>
      <c r="C105" s="369" t="s">
        <v>1491</v>
      </c>
      <c r="D105" s="370">
        <v>9.75</v>
      </c>
      <c r="E105" s="287" t="s">
        <v>1371</v>
      </c>
      <c r="F105" s="368"/>
      <c r="G105" s="364"/>
      <c r="H105" s="364"/>
      <c r="I105" s="364"/>
      <c r="J105" s="364"/>
      <c r="K105" s="268"/>
      <c r="L105" s="268"/>
      <c r="M105" s="245"/>
      <c r="N105" s="245"/>
      <c r="O105" s="245"/>
      <c r="P105" s="245"/>
      <c r="Q105" s="245"/>
      <c r="R105" s="245"/>
      <c r="S105" s="245"/>
      <c r="T105" s="245"/>
      <c r="U105" s="245"/>
      <c r="V105" s="245"/>
      <c r="W105" s="245"/>
      <c r="X105" s="245"/>
      <c r="Y105" s="245"/>
      <c r="Z105" s="245"/>
      <c r="AA105" s="245"/>
      <c r="AB105" s="245"/>
    </row>
    <row r="106" spans="1:28" ht="14.1" customHeight="1">
      <c r="A106" s="245"/>
      <c r="B106" s="246"/>
      <c r="C106" s="369" t="s">
        <v>1492</v>
      </c>
      <c r="D106" s="283">
        <v>4.46</v>
      </c>
      <c r="E106" s="331" t="s">
        <v>1371</v>
      </c>
      <c r="F106" s="368"/>
      <c r="G106" s="364"/>
      <c r="H106" s="364"/>
      <c r="I106" s="364"/>
      <c r="J106" s="364"/>
      <c r="K106" s="268"/>
      <c r="L106" s="268"/>
      <c r="M106" s="245"/>
      <c r="N106" s="245"/>
      <c r="O106" s="245"/>
      <c r="P106" s="245"/>
      <c r="Q106" s="245"/>
      <c r="R106" s="245"/>
      <c r="S106" s="245"/>
      <c r="T106" s="245"/>
      <c r="U106" s="245"/>
      <c r="V106" s="245"/>
      <c r="W106" s="245"/>
      <c r="X106" s="245"/>
      <c r="Y106" s="245"/>
      <c r="Z106" s="245"/>
      <c r="AA106" s="245"/>
      <c r="AB106" s="245"/>
    </row>
    <row r="107" spans="1:28" ht="14.1" customHeight="1">
      <c r="A107" s="245"/>
      <c r="B107" s="246"/>
      <c r="C107" s="369" t="s">
        <v>1493</v>
      </c>
      <c r="D107" s="370">
        <v>5.79</v>
      </c>
      <c r="E107" s="287" t="s">
        <v>1371</v>
      </c>
      <c r="F107" s="368"/>
      <c r="G107" s="364"/>
      <c r="H107" s="364"/>
      <c r="I107" s="364"/>
      <c r="J107" s="364"/>
      <c r="K107" s="268"/>
      <c r="L107" s="268"/>
      <c r="M107" s="245"/>
      <c r="N107" s="245"/>
      <c r="O107" s="245"/>
      <c r="P107" s="245"/>
      <c r="Q107" s="245"/>
      <c r="R107" s="245"/>
      <c r="S107" s="245"/>
      <c r="T107" s="245"/>
      <c r="U107" s="245"/>
      <c r="V107" s="245"/>
      <c r="W107" s="245"/>
      <c r="X107" s="245"/>
      <c r="Y107" s="245"/>
      <c r="Z107" s="245"/>
      <c r="AA107" s="245"/>
      <c r="AB107" s="245"/>
    </row>
    <row r="108" spans="1:28" ht="14.1" customHeight="1">
      <c r="A108" s="245"/>
      <c r="B108" s="246"/>
      <c r="C108" s="369" t="s">
        <v>1494</v>
      </c>
      <c r="D108" s="370">
        <v>4.0999999999999996</v>
      </c>
      <c r="E108" s="331" t="s">
        <v>1371</v>
      </c>
      <c r="F108" s="368"/>
      <c r="G108" s="364"/>
      <c r="H108" s="364"/>
      <c r="I108" s="364"/>
      <c r="J108" s="364"/>
      <c r="K108" s="268"/>
      <c r="L108" s="268"/>
      <c r="M108" s="245"/>
      <c r="N108" s="245"/>
      <c r="O108" s="245"/>
      <c r="P108" s="245"/>
      <c r="Q108" s="245"/>
      <c r="R108" s="245"/>
      <c r="S108" s="245"/>
      <c r="T108" s="245"/>
      <c r="U108" s="245"/>
      <c r="V108" s="245"/>
      <c r="W108" s="245"/>
      <c r="X108" s="245"/>
      <c r="Y108" s="245"/>
      <c r="Z108" s="245"/>
      <c r="AA108" s="245"/>
      <c r="AB108" s="245"/>
    </row>
    <row r="109" spans="1:28" ht="14.1" customHeight="1">
      <c r="A109" s="245"/>
      <c r="B109" s="246"/>
      <c r="C109" s="369" t="s">
        <v>1459</v>
      </c>
      <c r="D109" s="370">
        <v>8.7799999999999994</v>
      </c>
      <c r="E109" s="287" t="s">
        <v>1371</v>
      </c>
      <c r="F109" s="368"/>
      <c r="G109" s="364"/>
      <c r="H109" s="364"/>
      <c r="I109" s="364"/>
      <c r="J109" s="364"/>
      <c r="K109" s="268"/>
      <c r="L109" s="268"/>
      <c r="M109" s="245"/>
      <c r="N109" s="245"/>
      <c r="O109" s="245"/>
      <c r="P109" s="245"/>
      <c r="Q109" s="245"/>
      <c r="R109" s="245"/>
      <c r="S109" s="245"/>
      <c r="T109" s="245"/>
      <c r="U109" s="245"/>
      <c r="V109" s="245"/>
      <c r="W109" s="245"/>
      <c r="X109" s="245"/>
      <c r="Y109" s="245"/>
      <c r="Z109" s="245"/>
      <c r="AA109" s="245"/>
      <c r="AB109" s="245"/>
    </row>
    <row r="110" spans="1:28" ht="14.1" customHeight="1">
      <c r="A110" s="245"/>
      <c r="B110" s="246"/>
      <c r="C110" s="369" t="s">
        <v>1466</v>
      </c>
      <c r="D110" s="370">
        <v>5.59</v>
      </c>
      <c r="E110" s="331" t="s">
        <v>1371</v>
      </c>
      <c r="F110" s="368"/>
      <c r="G110" s="364"/>
      <c r="H110" s="364"/>
      <c r="I110" s="364"/>
      <c r="J110" s="364"/>
      <c r="K110" s="268"/>
      <c r="L110" s="268"/>
      <c r="M110" s="245"/>
      <c r="N110" s="245"/>
      <c r="O110" s="245"/>
      <c r="P110" s="245"/>
      <c r="Q110" s="245"/>
      <c r="R110" s="245"/>
      <c r="S110" s="245"/>
      <c r="T110" s="245"/>
      <c r="U110" s="245"/>
      <c r="V110" s="245"/>
      <c r="W110" s="245"/>
      <c r="X110" s="245"/>
      <c r="Y110" s="245"/>
      <c r="Z110" s="245"/>
      <c r="AA110" s="245"/>
      <c r="AB110" s="245"/>
    </row>
    <row r="111" spans="1:28" ht="14.1" customHeight="1" thickBot="1">
      <c r="A111" s="245"/>
      <c r="B111" s="246"/>
      <c r="C111" s="372" t="s">
        <v>1495</v>
      </c>
      <c r="D111" s="373">
        <v>11.27</v>
      </c>
      <c r="E111" s="257" t="s">
        <v>1371</v>
      </c>
      <c r="F111" s="368"/>
      <c r="G111" s="364"/>
      <c r="H111" s="364"/>
      <c r="I111" s="364"/>
      <c r="J111" s="364"/>
      <c r="K111" s="268"/>
      <c r="L111" s="268"/>
      <c r="M111" s="245"/>
      <c r="N111" s="245"/>
      <c r="O111" s="245"/>
      <c r="P111" s="245"/>
      <c r="Q111" s="245"/>
      <c r="R111" s="245"/>
      <c r="S111" s="245"/>
      <c r="T111" s="245"/>
      <c r="U111" s="245"/>
      <c r="V111" s="245"/>
      <c r="W111" s="245"/>
      <c r="X111" s="245"/>
      <c r="Y111" s="245"/>
      <c r="Z111" s="245"/>
      <c r="AA111" s="245"/>
      <c r="AB111" s="245"/>
    </row>
    <row r="112" spans="1:28" s="266" customFormat="1" ht="14.1" customHeight="1">
      <c r="A112" s="259"/>
      <c r="B112" s="248"/>
      <c r="C112" s="355" t="s">
        <v>1481</v>
      </c>
      <c r="D112" s="356"/>
      <c r="E112" s="356"/>
      <c r="F112" s="356"/>
      <c r="G112" s="356"/>
      <c r="H112" s="356"/>
      <c r="I112" s="356"/>
      <c r="J112" s="356"/>
      <c r="K112" s="356"/>
      <c r="L112" s="259"/>
      <c r="M112" s="259"/>
      <c r="N112" s="357"/>
      <c r="O112" s="259"/>
      <c r="P112" s="259"/>
      <c r="Q112" s="259"/>
      <c r="R112" s="259"/>
      <c r="S112" s="259"/>
      <c r="T112" s="259"/>
      <c r="U112" s="259"/>
      <c r="V112" s="259"/>
      <c r="W112" s="259"/>
      <c r="X112" s="259"/>
      <c r="Y112" s="259"/>
      <c r="Z112" s="259"/>
      <c r="AA112" s="259"/>
      <c r="AB112" s="259"/>
    </row>
    <row r="113" spans="1:28">
      <c r="A113" s="245"/>
      <c r="B113" s="246"/>
      <c r="C113" s="1024" t="s">
        <v>1496</v>
      </c>
      <c r="D113" s="1024"/>
      <c r="E113" s="1024"/>
      <c r="F113" s="1024"/>
      <c r="G113" s="1024"/>
      <c r="H113" s="1024"/>
      <c r="I113" s="1024"/>
      <c r="J113" s="1024"/>
      <c r="K113" s="1024"/>
      <c r="L113" s="245"/>
      <c r="M113" s="245"/>
      <c r="N113" s="245"/>
      <c r="O113" s="245"/>
      <c r="P113" s="245"/>
      <c r="Q113" s="245"/>
      <c r="R113" s="245"/>
      <c r="S113" s="245"/>
      <c r="T113" s="245"/>
      <c r="U113" s="245"/>
      <c r="V113" s="245"/>
      <c r="W113" s="245"/>
      <c r="X113" s="245"/>
      <c r="Y113" s="245"/>
      <c r="Z113" s="245"/>
      <c r="AA113" s="245"/>
      <c r="AB113" s="245"/>
    </row>
    <row r="114" spans="1:28">
      <c r="A114" s="245"/>
      <c r="B114" s="246"/>
      <c r="C114" s="374" t="s">
        <v>1497</v>
      </c>
      <c r="D114" s="375"/>
      <c r="E114" s="375"/>
      <c r="F114" s="375"/>
      <c r="G114" s="375"/>
      <c r="H114" s="255"/>
      <c r="I114" s="255"/>
      <c r="J114" s="245"/>
      <c r="K114" s="245"/>
      <c r="L114" s="245"/>
      <c r="M114" s="245"/>
      <c r="N114" s="245"/>
      <c r="O114" s="245"/>
      <c r="P114" s="245"/>
      <c r="Q114" s="245"/>
      <c r="R114" s="245"/>
      <c r="S114" s="245"/>
      <c r="T114" s="245"/>
      <c r="U114" s="245"/>
      <c r="V114" s="245"/>
      <c r="W114" s="245"/>
      <c r="X114" s="245"/>
      <c r="Y114" s="245"/>
      <c r="Z114" s="245"/>
      <c r="AA114" s="245"/>
      <c r="AB114" s="245"/>
    </row>
    <row r="115" spans="1:28" ht="26.25" customHeight="1">
      <c r="A115" s="245"/>
      <c r="B115" s="246"/>
      <c r="C115" s="1024" t="s">
        <v>1498</v>
      </c>
      <c r="D115" s="1024"/>
      <c r="E115" s="1024"/>
      <c r="F115" s="1024"/>
      <c r="G115" s="1024"/>
      <c r="H115" s="1024"/>
      <c r="I115" s="1024"/>
      <c r="J115" s="1024"/>
      <c r="K115" s="1024"/>
      <c r="L115" s="245"/>
      <c r="M115" s="245"/>
      <c r="N115" s="245"/>
      <c r="O115" s="245"/>
      <c r="P115" s="245"/>
      <c r="Q115" s="245"/>
      <c r="R115" s="245"/>
      <c r="S115" s="245"/>
      <c r="T115" s="245"/>
      <c r="U115" s="245"/>
      <c r="V115" s="245"/>
      <c r="W115" s="245"/>
      <c r="X115" s="245"/>
      <c r="Y115" s="245"/>
      <c r="Z115" s="245"/>
      <c r="AA115" s="245"/>
      <c r="AB115" s="245"/>
    </row>
    <row r="116" spans="1:28" ht="14.1" customHeight="1">
      <c r="A116" s="245"/>
      <c r="B116" s="246"/>
      <c r="C116" s="245"/>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row>
    <row r="117" spans="1:28" ht="14.1" customHeight="1">
      <c r="A117" s="245"/>
      <c r="B117" s="246"/>
      <c r="C117" s="245"/>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row>
    <row r="118" spans="1:28" ht="14.1" customHeight="1">
      <c r="A118" s="245"/>
      <c r="B118" s="246"/>
      <c r="C118" s="245"/>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row>
    <row r="119" spans="1:28" ht="18" customHeight="1">
      <c r="B119" s="376" t="s">
        <v>1499</v>
      </c>
      <c r="C119" s="377" t="s">
        <v>1500</v>
      </c>
      <c r="D119" s="378"/>
      <c r="E119" s="378"/>
      <c r="F119" s="378"/>
      <c r="G119" s="378"/>
      <c r="H119" s="378"/>
      <c r="I119" s="378"/>
      <c r="J119" s="378"/>
      <c r="K119" s="378"/>
      <c r="L119" s="379"/>
      <c r="M119" s="245"/>
      <c r="N119" s="245"/>
      <c r="O119" s="245"/>
      <c r="P119" s="245"/>
      <c r="Q119" s="245"/>
      <c r="R119" s="245"/>
      <c r="S119" s="245"/>
      <c r="T119" s="245"/>
      <c r="U119" s="245"/>
      <c r="V119" s="245"/>
      <c r="W119" s="245"/>
      <c r="X119" s="245"/>
      <c r="Y119" s="245"/>
      <c r="Z119" s="245"/>
      <c r="AA119" s="245"/>
      <c r="AB119" s="245"/>
    </row>
    <row r="120" spans="1:28" ht="14.1" customHeight="1" thickBot="1">
      <c r="A120" s="245"/>
      <c r="B120" s="245"/>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c r="AA120" s="245"/>
      <c r="AB120" s="245"/>
    </row>
    <row r="121" spans="1:28" ht="32.1" customHeight="1" thickBot="1">
      <c r="A121" s="245"/>
      <c r="B121" s="245"/>
      <c r="C121" s="380" t="s">
        <v>1501</v>
      </c>
      <c r="D121" s="381" t="s">
        <v>1502</v>
      </c>
      <c r="E121" s="382" t="s">
        <v>1503</v>
      </c>
      <c r="F121" s="383" t="s">
        <v>1504</v>
      </c>
      <c r="G121" s="245"/>
      <c r="H121" s="245"/>
      <c r="I121" s="245"/>
      <c r="J121" s="245"/>
      <c r="K121" s="245"/>
      <c r="L121" s="245"/>
      <c r="M121" s="245"/>
      <c r="N121" s="245"/>
      <c r="O121" s="245"/>
      <c r="P121" s="245"/>
      <c r="Q121" s="245"/>
      <c r="R121" s="245"/>
      <c r="S121" s="245"/>
      <c r="T121" s="245"/>
      <c r="U121" s="245"/>
      <c r="V121" s="245"/>
      <c r="W121" s="245"/>
      <c r="X121" s="245"/>
      <c r="Y121" s="245"/>
      <c r="Z121" s="245"/>
      <c r="AA121" s="245"/>
      <c r="AB121" s="245"/>
    </row>
    <row r="122" spans="1:28" ht="14.1" customHeight="1">
      <c r="A122" s="245"/>
      <c r="B122" s="245"/>
      <c r="C122" s="384" t="s">
        <v>1505</v>
      </c>
      <c r="D122" s="385" t="s">
        <v>1506</v>
      </c>
      <c r="E122" s="386">
        <v>7.0400000000000004E-2</v>
      </c>
      <c r="F122" s="387">
        <v>6.4699999999999994E-2</v>
      </c>
      <c r="G122" s="245"/>
      <c r="H122" s="245"/>
      <c r="I122" s="245"/>
      <c r="J122" s="245"/>
      <c r="K122" s="245"/>
      <c r="L122" s="245"/>
      <c r="M122" s="245"/>
      <c r="N122" s="245"/>
      <c r="O122" s="245"/>
      <c r="P122" s="245"/>
      <c r="Q122" s="245"/>
      <c r="R122" s="245"/>
      <c r="S122" s="245"/>
      <c r="T122" s="245"/>
      <c r="U122" s="245"/>
      <c r="V122" s="245"/>
      <c r="W122" s="245"/>
      <c r="X122" s="245"/>
      <c r="Y122" s="245"/>
      <c r="Z122" s="245"/>
      <c r="AA122" s="245"/>
      <c r="AB122" s="245"/>
    </row>
    <row r="123" spans="1:28" ht="14.1" customHeight="1">
      <c r="A123" s="245"/>
      <c r="B123" s="245"/>
      <c r="C123" s="388"/>
      <c r="D123" s="389">
        <v>1994</v>
      </c>
      <c r="E123" s="390">
        <v>5.3100000000000001E-2</v>
      </c>
      <c r="F123" s="391">
        <v>5.6000000000000001E-2</v>
      </c>
      <c r="G123" s="245"/>
      <c r="H123" s="245"/>
      <c r="I123" s="245"/>
      <c r="J123" s="245"/>
      <c r="K123" s="245"/>
      <c r="L123" s="245"/>
      <c r="M123" s="245"/>
      <c r="N123" s="245"/>
      <c r="O123" s="245"/>
      <c r="P123" s="245"/>
      <c r="Q123" s="245"/>
      <c r="R123" s="245"/>
      <c r="S123" s="245"/>
      <c r="T123" s="245"/>
      <c r="U123" s="245"/>
      <c r="V123" s="245"/>
      <c r="W123" s="245"/>
      <c r="X123" s="245"/>
      <c r="Y123" s="245"/>
      <c r="Z123" s="245"/>
      <c r="AA123" s="245"/>
      <c r="AB123" s="245"/>
    </row>
    <row r="124" spans="1:28" ht="14.1" customHeight="1">
      <c r="A124" s="245"/>
      <c r="B124" s="245"/>
      <c r="C124" s="388"/>
      <c r="D124" s="389">
        <v>1995</v>
      </c>
      <c r="E124" s="390">
        <v>3.5799999999999998E-2</v>
      </c>
      <c r="F124" s="391">
        <v>4.7300000000000002E-2</v>
      </c>
      <c r="G124" s="245"/>
      <c r="H124" s="245"/>
      <c r="I124" s="245"/>
      <c r="J124" s="245"/>
      <c r="K124" s="245"/>
      <c r="L124" s="245"/>
      <c r="M124" s="245"/>
      <c r="N124" s="245"/>
      <c r="O124" s="245"/>
      <c r="P124" s="245"/>
      <c r="Q124" s="245"/>
      <c r="R124" s="245"/>
      <c r="S124" s="245"/>
      <c r="T124" s="245"/>
      <c r="U124" s="245"/>
      <c r="V124" s="245"/>
      <c r="W124" s="245"/>
      <c r="X124" s="245"/>
      <c r="Y124" s="245"/>
      <c r="Z124" s="245"/>
      <c r="AA124" s="245"/>
      <c r="AB124" s="245"/>
    </row>
    <row r="125" spans="1:28" ht="14.1" customHeight="1">
      <c r="A125" s="245"/>
      <c r="B125" s="245"/>
      <c r="C125" s="388"/>
      <c r="D125" s="389">
        <v>1996</v>
      </c>
      <c r="E125" s="390">
        <v>2.7199999999999998E-2</v>
      </c>
      <c r="F125" s="391">
        <v>4.2599999999999999E-2</v>
      </c>
      <c r="G125" s="245"/>
      <c r="H125" s="245"/>
      <c r="I125" s="245"/>
      <c r="J125" s="245"/>
      <c r="K125" s="245"/>
      <c r="L125" s="245"/>
      <c r="M125" s="245"/>
      <c r="N125" s="245"/>
      <c r="O125" s="245"/>
      <c r="P125" s="245"/>
      <c r="Q125" s="245"/>
      <c r="R125" s="245"/>
      <c r="S125" s="245"/>
      <c r="T125" s="245"/>
      <c r="U125" s="245"/>
      <c r="V125" s="245"/>
      <c r="W125" s="245"/>
      <c r="X125" s="245"/>
      <c r="Y125" s="245"/>
      <c r="Z125" s="245"/>
      <c r="AA125" s="245"/>
      <c r="AB125" s="245"/>
    </row>
    <row r="126" spans="1:28" ht="14.1" customHeight="1">
      <c r="A126" s="245"/>
      <c r="B126" s="245"/>
      <c r="C126" s="388"/>
      <c r="D126" s="389">
        <v>1997</v>
      </c>
      <c r="E126" s="390">
        <v>2.6800000000000001E-2</v>
      </c>
      <c r="F126" s="391">
        <v>4.2200000000000001E-2</v>
      </c>
      <c r="G126" s="245"/>
      <c r="H126" s="245"/>
      <c r="I126" s="245"/>
      <c r="J126" s="245"/>
      <c r="K126" s="245"/>
      <c r="L126" s="245"/>
      <c r="M126" s="245"/>
      <c r="N126" s="245"/>
      <c r="O126" s="245"/>
      <c r="P126" s="245"/>
      <c r="Q126" s="245"/>
      <c r="R126" s="245"/>
      <c r="S126" s="245"/>
      <c r="T126" s="245"/>
      <c r="U126" s="245"/>
      <c r="V126" s="245"/>
      <c r="W126" s="245"/>
      <c r="X126" s="245"/>
      <c r="Y126" s="245"/>
      <c r="Z126" s="245"/>
      <c r="AA126" s="245"/>
      <c r="AB126" s="245"/>
    </row>
    <row r="127" spans="1:28" ht="14.1" customHeight="1">
      <c r="A127" s="245"/>
      <c r="B127" s="245"/>
      <c r="C127" s="388"/>
      <c r="D127" s="389">
        <v>1998</v>
      </c>
      <c r="E127" s="390">
        <v>2.4899999999999999E-2</v>
      </c>
      <c r="F127" s="391">
        <v>3.9300000000000002E-2</v>
      </c>
      <c r="G127" s="245"/>
      <c r="H127" s="245"/>
      <c r="I127" s="245"/>
      <c r="J127" s="245"/>
      <c r="K127" s="245"/>
      <c r="L127" s="245"/>
      <c r="M127" s="245"/>
      <c r="N127" s="245"/>
      <c r="O127" s="245"/>
      <c r="P127" s="245"/>
      <c r="Q127" s="245"/>
      <c r="R127" s="245"/>
      <c r="S127" s="245"/>
      <c r="T127" s="245"/>
      <c r="U127" s="245"/>
      <c r="V127" s="245"/>
      <c r="W127" s="245"/>
      <c r="X127" s="245"/>
      <c r="Y127" s="245"/>
      <c r="Z127" s="245"/>
      <c r="AA127" s="245"/>
      <c r="AB127" s="245"/>
    </row>
    <row r="128" spans="1:28" ht="14.1" customHeight="1">
      <c r="A128" s="245"/>
      <c r="B128" s="245"/>
      <c r="C128" s="388"/>
      <c r="D128" s="389">
        <v>1999</v>
      </c>
      <c r="E128" s="390">
        <v>2.1600000000000001E-2</v>
      </c>
      <c r="F128" s="391">
        <v>3.3700000000000001E-2</v>
      </c>
      <c r="G128" s="245"/>
      <c r="H128" s="245"/>
      <c r="I128" s="245"/>
      <c r="J128" s="245"/>
      <c r="K128" s="245"/>
      <c r="L128" s="245"/>
      <c r="M128" s="245"/>
      <c r="N128" s="245"/>
      <c r="O128" s="245"/>
      <c r="P128" s="245"/>
      <c r="Q128" s="245"/>
      <c r="R128" s="245"/>
      <c r="S128" s="245"/>
      <c r="T128" s="245"/>
      <c r="U128" s="245"/>
      <c r="V128" s="245"/>
      <c r="W128" s="245"/>
      <c r="X128" s="245"/>
      <c r="Y128" s="245"/>
      <c r="Z128" s="245"/>
      <c r="AA128" s="245"/>
      <c r="AB128" s="245"/>
    </row>
    <row r="129" spans="1:28" ht="14.1" customHeight="1">
      <c r="A129" s="245"/>
      <c r="B129" s="245"/>
      <c r="C129" s="388"/>
      <c r="D129" s="389">
        <v>2000</v>
      </c>
      <c r="E129" s="390">
        <v>1.78E-2</v>
      </c>
      <c r="F129" s="391">
        <v>2.7300000000000001E-2</v>
      </c>
      <c r="G129" s="245"/>
      <c r="H129" s="245"/>
      <c r="I129" s="245"/>
      <c r="J129" s="245"/>
      <c r="K129" s="245"/>
      <c r="L129" s="245"/>
      <c r="M129" s="245"/>
      <c r="N129" s="245"/>
      <c r="O129" s="245"/>
      <c r="P129" s="245"/>
      <c r="Q129" s="245"/>
      <c r="R129" s="245"/>
      <c r="S129" s="245"/>
      <c r="T129" s="245"/>
      <c r="U129" s="245"/>
      <c r="V129" s="245"/>
      <c r="W129" s="245"/>
      <c r="X129" s="245"/>
      <c r="Y129" s="245"/>
      <c r="Z129" s="245"/>
      <c r="AA129" s="245"/>
      <c r="AB129" s="245"/>
    </row>
    <row r="130" spans="1:28" ht="14.1" customHeight="1">
      <c r="A130" s="245"/>
      <c r="B130" s="245"/>
      <c r="C130" s="388"/>
      <c r="D130" s="389">
        <v>2001</v>
      </c>
      <c r="E130" s="390">
        <v>1.0999999999999999E-2</v>
      </c>
      <c r="F130" s="391">
        <v>1.5800000000000002E-2</v>
      </c>
      <c r="G130" s="245"/>
      <c r="H130" s="245"/>
      <c r="I130" s="245"/>
      <c r="J130" s="245"/>
      <c r="K130" s="245"/>
      <c r="L130" s="245"/>
      <c r="M130" s="245"/>
      <c r="N130" s="245"/>
      <c r="O130" s="245"/>
      <c r="P130" s="245"/>
      <c r="Q130" s="245"/>
      <c r="R130" s="245"/>
      <c r="S130" s="245"/>
      <c r="T130" s="245"/>
      <c r="U130" s="245"/>
      <c r="V130" s="245"/>
      <c r="W130" s="245"/>
      <c r="X130" s="245"/>
      <c r="Y130" s="245"/>
      <c r="Z130" s="245"/>
      <c r="AA130" s="245"/>
      <c r="AB130" s="245"/>
    </row>
    <row r="131" spans="1:28" ht="14.1" customHeight="1">
      <c r="A131" s="245"/>
      <c r="B131" s="245"/>
      <c r="C131" s="388"/>
      <c r="D131" s="389">
        <v>2002</v>
      </c>
      <c r="E131" s="390">
        <v>1.0699999999999999E-2</v>
      </c>
      <c r="F131" s="391">
        <v>1.5299999999999999E-2</v>
      </c>
      <c r="G131" s="245"/>
      <c r="H131" s="245"/>
      <c r="I131" s="245"/>
      <c r="J131" s="245"/>
      <c r="K131" s="245"/>
      <c r="L131" s="245"/>
      <c r="M131" s="245"/>
      <c r="N131" s="245"/>
      <c r="O131" s="245"/>
      <c r="P131" s="245"/>
      <c r="Q131" s="245"/>
      <c r="R131" s="245"/>
      <c r="S131" s="245"/>
      <c r="T131" s="245"/>
      <c r="U131" s="245"/>
      <c r="V131" s="245"/>
      <c r="W131" s="245"/>
      <c r="X131" s="245"/>
      <c r="Y131" s="245"/>
      <c r="Z131" s="245"/>
      <c r="AA131" s="245"/>
      <c r="AB131" s="245"/>
    </row>
    <row r="132" spans="1:28" ht="14.1" customHeight="1">
      <c r="A132" s="245"/>
      <c r="B132" s="245"/>
      <c r="C132" s="388"/>
      <c r="D132" s="389">
        <v>2003</v>
      </c>
      <c r="E132" s="390">
        <v>1.14E-2</v>
      </c>
      <c r="F132" s="391">
        <v>1.35E-2</v>
      </c>
      <c r="G132" s="245"/>
      <c r="H132" s="245"/>
      <c r="I132" s="245"/>
      <c r="J132" s="245"/>
      <c r="K132" s="245"/>
      <c r="L132" s="245"/>
      <c r="M132" s="245"/>
      <c r="N132" s="245"/>
      <c r="O132" s="245"/>
      <c r="P132" s="245"/>
      <c r="Q132" s="245"/>
      <c r="R132" s="245"/>
      <c r="S132" s="245"/>
      <c r="T132" s="245"/>
      <c r="U132" s="245"/>
      <c r="V132" s="245"/>
      <c r="W132" s="245"/>
      <c r="X132" s="245"/>
      <c r="Y132" s="245"/>
      <c r="Z132" s="245"/>
      <c r="AA132" s="245"/>
      <c r="AB132" s="245"/>
    </row>
    <row r="133" spans="1:28" ht="14.1" customHeight="1">
      <c r="A133" s="245"/>
      <c r="B133" s="245"/>
      <c r="C133" s="388"/>
      <c r="D133" s="389">
        <v>2004</v>
      </c>
      <c r="E133" s="390">
        <v>1.4500000000000001E-2</v>
      </c>
      <c r="F133" s="391">
        <v>8.3000000000000001E-3</v>
      </c>
      <c r="G133" s="245"/>
      <c r="H133" s="245"/>
      <c r="I133" s="245"/>
      <c r="J133" s="245"/>
      <c r="K133" s="245"/>
      <c r="L133" s="245"/>
      <c r="M133" s="245"/>
      <c r="N133" s="245"/>
      <c r="O133" s="245"/>
      <c r="P133" s="245"/>
      <c r="Q133" s="245"/>
      <c r="R133" s="245"/>
      <c r="S133" s="245"/>
      <c r="T133" s="245"/>
      <c r="U133" s="245"/>
      <c r="V133" s="245"/>
      <c r="W133" s="245"/>
      <c r="X133" s="245"/>
      <c r="Y133" s="245"/>
      <c r="Z133" s="245"/>
      <c r="AA133" s="245"/>
      <c r="AB133" s="245"/>
    </row>
    <row r="134" spans="1:28" ht="14.1" customHeight="1">
      <c r="A134" s="245"/>
      <c r="B134" s="245"/>
      <c r="C134" s="388"/>
      <c r="D134" s="389">
        <v>2005</v>
      </c>
      <c r="E134" s="390">
        <v>1.47E-2</v>
      </c>
      <c r="F134" s="391">
        <v>7.9000000000000008E-3</v>
      </c>
      <c r="G134" s="245"/>
      <c r="H134" s="245"/>
      <c r="I134" s="245"/>
      <c r="J134" s="245"/>
      <c r="K134" s="245"/>
      <c r="L134" s="245"/>
      <c r="M134" s="245"/>
      <c r="N134" s="245"/>
      <c r="O134" s="245"/>
      <c r="P134" s="245"/>
      <c r="Q134" s="245"/>
      <c r="R134" s="245"/>
      <c r="S134" s="245"/>
      <c r="T134" s="245"/>
      <c r="U134" s="245"/>
      <c r="V134" s="245"/>
      <c r="W134" s="245"/>
      <c r="X134" s="245"/>
      <c r="Y134" s="245"/>
      <c r="Z134" s="245"/>
      <c r="AA134" s="245"/>
      <c r="AB134" s="245"/>
    </row>
    <row r="135" spans="1:28" ht="14.1" customHeight="1">
      <c r="A135" s="245"/>
      <c r="B135" s="245"/>
      <c r="C135" s="388"/>
      <c r="D135" s="389">
        <v>2006</v>
      </c>
      <c r="E135" s="390">
        <v>1.6076E-2</v>
      </c>
      <c r="F135" s="391">
        <v>5.651999999999999E-3</v>
      </c>
      <c r="G135" s="245"/>
      <c r="H135" s="245"/>
      <c r="I135" s="245"/>
      <c r="J135" s="245"/>
      <c r="K135" s="245"/>
      <c r="L135" s="245"/>
      <c r="M135" s="245"/>
      <c r="N135" s="245"/>
      <c r="O135" s="245"/>
      <c r="P135" s="245"/>
      <c r="Q135" s="245"/>
      <c r="R135" s="245"/>
      <c r="S135" s="245"/>
      <c r="T135" s="245"/>
      <c r="U135" s="245"/>
      <c r="V135" s="245"/>
      <c r="W135" s="245"/>
      <c r="X135" s="245"/>
      <c r="Y135" s="245"/>
      <c r="Z135" s="245"/>
      <c r="AA135" s="245"/>
      <c r="AB135" s="245"/>
    </row>
    <row r="136" spans="1:28" ht="14.1" customHeight="1">
      <c r="A136" s="245"/>
      <c r="B136" s="245"/>
      <c r="C136" s="388"/>
      <c r="D136" s="389">
        <v>2007</v>
      </c>
      <c r="E136" s="390">
        <v>1.7027999999999998E-2</v>
      </c>
      <c r="F136" s="391">
        <v>4.0559999999999997E-3</v>
      </c>
      <c r="G136" s="245"/>
      <c r="H136" s="245"/>
      <c r="I136" s="245"/>
      <c r="J136" s="245"/>
      <c r="K136" s="245"/>
      <c r="L136" s="245"/>
      <c r="M136" s="245"/>
      <c r="N136" s="245"/>
      <c r="O136" s="245"/>
      <c r="P136" s="245"/>
      <c r="Q136" s="245"/>
      <c r="R136" s="245"/>
      <c r="S136" s="245"/>
      <c r="T136" s="245"/>
      <c r="U136" s="245"/>
      <c r="V136" s="245"/>
      <c r="W136" s="245"/>
      <c r="X136" s="245"/>
      <c r="Y136" s="245"/>
      <c r="Z136" s="245"/>
      <c r="AA136" s="245"/>
      <c r="AB136" s="245"/>
    </row>
    <row r="137" spans="1:28" ht="14.1" customHeight="1">
      <c r="A137" s="245"/>
      <c r="B137" s="245"/>
      <c r="C137" s="388"/>
      <c r="D137" s="389">
        <v>2008</v>
      </c>
      <c r="E137" s="390">
        <v>1.7163999999999999E-2</v>
      </c>
      <c r="F137" s="391">
        <v>3.8279999999999998E-3</v>
      </c>
      <c r="G137" s="245"/>
      <c r="H137" s="245"/>
      <c r="I137" s="245"/>
      <c r="J137" s="245"/>
      <c r="K137" s="245"/>
      <c r="L137" s="245"/>
      <c r="M137" s="245"/>
      <c r="N137" s="245"/>
      <c r="O137" s="245"/>
      <c r="P137" s="245"/>
      <c r="Q137" s="245"/>
      <c r="R137" s="245"/>
      <c r="S137" s="245"/>
      <c r="T137" s="245"/>
      <c r="U137" s="245"/>
      <c r="V137" s="245"/>
      <c r="W137" s="245"/>
      <c r="X137" s="245"/>
      <c r="Y137" s="245"/>
      <c r="Z137" s="245"/>
      <c r="AA137" s="245"/>
      <c r="AB137" s="245"/>
    </row>
    <row r="138" spans="1:28" ht="14.1" customHeight="1" thickBot="1">
      <c r="A138" s="245"/>
      <c r="B138" s="245"/>
      <c r="C138" s="392"/>
      <c r="D138" s="393" t="s">
        <v>1507</v>
      </c>
      <c r="E138" s="394">
        <v>1.7299999999999999E-2</v>
      </c>
      <c r="F138" s="395">
        <v>3.5999999999999999E-3</v>
      </c>
      <c r="G138" s="245"/>
      <c r="H138" s="245"/>
      <c r="I138" s="245"/>
      <c r="J138" s="245"/>
      <c r="K138" s="245"/>
      <c r="L138" s="245"/>
      <c r="M138" s="245"/>
      <c r="N138" s="245"/>
      <c r="O138" s="245"/>
      <c r="P138" s="245"/>
      <c r="Q138" s="245"/>
      <c r="R138" s="245"/>
      <c r="S138" s="245"/>
      <c r="T138" s="245"/>
      <c r="U138" s="245"/>
      <c r="V138" s="245"/>
      <c r="W138" s="245"/>
      <c r="X138" s="245"/>
      <c r="Y138" s="245"/>
      <c r="Z138" s="245"/>
      <c r="AA138" s="245"/>
      <c r="AB138" s="245"/>
    </row>
    <row r="139" spans="1:28" ht="14.1" customHeight="1">
      <c r="A139" s="245"/>
      <c r="B139" s="245"/>
      <c r="C139" s="384" t="s">
        <v>1508</v>
      </c>
      <c r="D139" s="385" t="s">
        <v>1509</v>
      </c>
      <c r="E139" s="386">
        <v>8.1299999999999997E-2</v>
      </c>
      <c r="F139" s="387">
        <v>0.10349999999999999</v>
      </c>
      <c r="G139" s="245"/>
      <c r="H139" s="245"/>
      <c r="I139" s="245"/>
      <c r="J139" s="245"/>
      <c r="K139" s="245"/>
      <c r="L139" s="245"/>
      <c r="M139" s="245"/>
      <c r="N139" s="245"/>
      <c r="O139" s="245"/>
      <c r="P139" s="245"/>
      <c r="Q139" s="245"/>
      <c r="R139" s="245"/>
      <c r="S139" s="245"/>
      <c r="T139" s="245"/>
      <c r="U139" s="245"/>
      <c r="V139" s="245"/>
      <c r="W139" s="245"/>
      <c r="X139" s="245"/>
      <c r="Y139" s="245"/>
      <c r="Z139" s="245"/>
      <c r="AA139" s="245"/>
      <c r="AB139" s="245"/>
    </row>
    <row r="140" spans="1:28" ht="14.1" customHeight="1">
      <c r="A140" s="245"/>
      <c r="B140" s="245"/>
      <c r="C140" s="388" t="s">
        <v>1510</v>
      </c>
      <c r="D140" s="389">
        <v>1994</v>
      </c>
      <c r="E140" s="390">
        <v>6.4600000000000005E-2</v>
      </c>
      <c r="F140" s="391">
        <v>9.8199999999999996E-2</v>
      </c>
      <c r="G140" s="245"/>
      <c r="H140" s="245"/>
      <c r="I140" s="245"/>
      <c r="J140" s="245"/>
      <c r="K140" s="245"/>
      <c r="L140" s="245"/>
      <c r="M140" s="245"/>
      <c r="N140" s="245"/>
      <c r="O140" s="245"/>
      <c r="P140" s="245"/>
      <c r="Q140" s="245"/>
      <c r="R140" s="245"/>
      <c r="S140" s="245"/>
      <c r="T140" s="245"/>
      <c r="U140" s="245"/>
      <c r="V140" s="245"/>
      <c r="W140" s="245"/>
      <c r="X140" s="245"/>
      <c r="Y140" s="245"/>
      <c r="Z140" s="245"/>
      <c r="AA140" s="245"/>
      <c r="AB140" s="245"/>
    </row>
    <row r="141" spans="1:28" ht="14.1" customHeight="1">
      <c r="A141" s="245"/>
      <c r="B141" s="245"/>
      <c r="C141" s="388"/>
      <c r="D141" s="389">
        <v>1995</v>
      </c>
      <c r="E141" s="390">
        <v>5.1700000000000003E-2</v>
      </c>
      <c r="F141" s="391">
        <v>9.0800000000000006E-2</v>
      </c>
      <c r="G141" s="245"/>
      <c r="H141" s="245"/>
      <c r="I141" s="245"/>
      <c r="J141" s="245"/>
      <c r="K141" s="245"/>
      <c r="L141" s="245"/>
      <c r="M141" s="245"/>
      <c r="N141" s="245"/>
      <c r="O141" s="245"/>
      <c r="P141" s="245"/>
      <c r="Q141" s="245"/>
      <c r="R141" s="245"/>
      <c r="S141" s="245"/>
      <c r="T141" s="245"/>
      <c r="U141" s="245"/>
      <c r="V141" s="245"/>
      <c r="W141" s="245"/>
      <c r="X141" s="245"/>
      <c r="Y141" s="245"/>
      <c r="Z141" s="245"/>
      <c r="AA141" s="245"/>
      <c r="AB141" s="245"/>
    </row>
    <row r="142" spans="1:28" ht="14.1" customHeight="1">
      <c r="A142" s="245"/>
      <c r="B142" s="245"/>
      <c r="C142" s="388"/>
      <c r="D142" s="389">
        <v>1996</v>
      </c>
      <c r="E142" s="390">
        <v>4.5199999999999997E-2</v>
      </c>
      <c r="F142" s="391">
        <v>8.7099999999999997E-2</v>
      </c>
      <c r="G142" s="245"/>
      <c r="H142" s="245"/>
      <c r="I142" s="245"/>
      <c r="J142" s="245"/>
      <c r="K142" s="245"/>
      <c r="L142" s="245"/>
      <c r="M142" s="245"/>
      <c r="N142" s="245"/>
      <c r="O142" s="245"/>
      <c r="P142" s="245"/>
      <c r="Q142" s="245"/>
      <c r="R142" s="245"/>
      <c r="S142" s="245"/>
      <c r="T142" s="245"/>
      <c r="U142" s="245"/>
      <c r="V142" s="245"/>
      <c r="W142" s="245"/>
      <c r="X142" s="245"/>
      <c r="Y142" s="245"/>
      <c r="Z142" s="245"/>
      <c r="AA142" s="245"/>
      <c r="AB142" s="245"/>
    </row>
    <row r="143" spans="1:28" ht="14.1" customHeight="1">
      <c r="A143" s="245"/>
      <c r="B143" s="245"/>
      <c r="C143" s="388"/>
      <c r="D143" s="389">
        <v>1997</v>
      </c>
      <c r="E143" s="390">
        <v>4.5199999999999997E-2</v>
      </c>
      <c r="F143" s="391">
        <v>8.7099999999999997E-2</v>
      </c>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row>
    <row r="144" spans="1:28" ht="14.1" customHeight="1">
      <c r="A144" s="245"/>
      <c r="B144" s="245"/>
      <c r="C144" s="388"/>
      <c r="D144" s="389">
        <v>1998</v>
      </c>
      <c r="E144" s="390">
        <v>3.9100000000000003E-2</v>
      </c>
      <c r="F144" s="391">
        <v>7.2800000000000004E-2</v>
      </c>
      <c r="G144" s="245"/>
      <c r="H144" s="245"/>
      <c r="I144" s="245"/>
      <c r="J144" s="245"/>
      <c r="K144" s="245"/>
      <c r="L144" s="245"/>
      <c r="M144" s="245"/>
      <c r="N144" s="245"/>
      <c r="O144" s="245"/>
      <c r="P144" s="245"/>
      <c r="Q144" s="245"/>
      <c r="R144" s="245"/>
      <c r="S144" s="245"/>
      <c r="T144" s="245"/>
      <c r="U144" s="245"/>
      <c r="V144" s="245"/>
      <c r="W144" s="245"/>
      <c r="X144" s="245"/>
      <c r="Y144" s="245"/>
      <c r="Z144" s="245"/>
      <c r="AA144" s="245"/>
      <c r="AB144" s="245"/>
    </row>
    <row r="145" spans="1:28" ht="14.1" customHeight="1">
      <c r="A145" s="245"/>
      <c r="B145" s="245"/>
      <c r="C145" s="388"/>
      <c r="D145" s="389">
        <v>1999</v>
      </c>
      <c r="E145" s="390">
        <v>3.2099999999999997E-2</v>
      </c>
      <c r="F145" s="391">
        <v>5.6399999999999999E-2</v>
      </c>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row>
    <row r="146" spans="1:28" ht="14.1" customHeight="1">
      <c r="A146" s="245"/>
      <c r="B146" s="245"/>
      <c r="C146" s="388"/>
      <c r="D146" s="389">
        <v>2000</v>
      </c>
      <c r="E146" s="390">
        <v>3.4599999999999999E-2</v>
      </c>
      <c r="F146" s="391">
        <v>6.2100000000000002E-2</v>
      </c>
      <c r="G146" s="245"/>
      <c r="H146" s="245"/>
      <c r="I146" s="245"/>
      <c r="J146" s="245"/>
      <c r="K146" s="245"/>
      <c r="L146" s="245"/>
      <c r="M146" s="245"/>
      <c r="N146" s="245"/>
      <c r="O146" s="245"/>
      <c r="P146" s="245"/>
      <c r="Q146" s="245"/>
      <c r="R146" s="245"/>
      <c r="S146" s="245"/>
      <c r="T146" s="245"/>
      <c r="U146" s="245"/>
      <c r="V146" s="245"/>
      <c r="W146" s="245"/>
      <c r="X146" s="245"/>
      <c r="Y146" s="245"/>
      <c r="Z146" s="245"/>
      <c r="AA146" s="245"/>
      <c r="AB146" s="245"/>
    </row>
    <row r="147" spans="1:28" ht="14.1" customHeight="1">
      <c r="A147" s="245"/>
      <c r="B147" s="245"/>
      <c r="C147" s="388"/>
      <c r="D147" s="389">
        <v>2001</v>
      </c>
      <c r="E147" s="390">
        <v>1.5100000000000001E-2</v>
      </c>
      <c r="F147" s="391">
        <v>1.6400000000000001E-2</v>
      </c>
      <c r="G147" s="245"/>
      <c r="H147" s="245"/>
      <c r="I147" s="245"/>
      <c r="J147" s="245"/>
      <c r="K147" s="245"/>
      <c r="L147" s="245"/>
      <c r="M147" s="245"/>
      <c r="N147" s="245"/>
      <c r="O147" s="245"/>
      <c r="P147" s="245"/>
      <c r="Q147" s="245"/>
      <c r="R147" s="245"/>
      <c r="S147" s="245"/>
      <c r="T147" s="245"/>
      <c r="U147" s="245"/>
      <c r="V147" s="245"/>
      <c r="W147" s="245"/>
      <c r="X147" s="245"/>
      <c r="Y147" s="245"/>
      <c r="Z147" s="245"/>
      <c r="AA147" s="245"/>
      <c r="AB147" s="245"/>
    </row>
    <row r="148" spans="1:28" ht="14.1" customHeight="1">
      <c r="A148" s="245"/>
      <c r="B148" s="245"/>
      <c r="C148" s="388"/>
      <c r="D148" s="389">
        <v>2002</v>
      </c>
      <c r="E148" s="390">
        <v>1.78E-2</v>
      </c>
      <c r="F148" s="391">
        <v>2.2800000000000001E-2</v>
      </c>
      <c r="G148" s="245"/>
      <c r="H148" s="245"/>
      <c r="I148" s="245"/>
      <c r="J148" s="245"/>
      <c r="K148" s="245"/>
      <c r="L148" s="245"/>
      <c r="M148" s="245"/>
      <c r="N148" s="245"/>
      <c r="O148" s="245"/>
      <c r="P148" s="245"/>
      <c r="Q148" s="245"/>
      <c r="R148" s="245"/>
      <c r="S148" s="245"/>
      <c r="T148" s="245"/>
      <c r="U148" s="245"/>
      <c r="V148" s="245"/>
      <c r="W148" s="245"/>
      <c r="X148" s="245"/>
      <c r="Y148" s="245"/>
      <c r="Z148" s="245"/>
      <c r="AA148" s="245"/>
      <c r="AB148" s="245"/>
    </row>
    <row r="149" spans="1:28" ht="14.1" customHeight="1">
      <c r="A149" s="245"/>
      <c r="B149" s="245"/>
      <c r="C149" s="388"/>
      <c r="D149" s="389">
        <v>2003</v>
      </c>
      <c r="E149" s="390">
        <v>1.55E-2</v>
      </c>
      <c r="F149" s="391">
        <v>1.14E-2</v>
      </c>
      <c r="G149" s="245"/>
      <c r="H149" s="245"/>
      <c r="I149" s="245"/>
      <c r="J149" s="245"/>
      <c r="K149" s="245"/>
      <c r="L149" s="245"/>
      <c r="M149" s="245"/>
      <c r="N149" s="245"/>
      <c r="O149" s="245"/>
      <c r="P149" s="245"/>
      <c r="Q149" s="245"/>
      <c r="R149" s="245"/>
      <c r="S149" s="245"/>
      <c r="T149" s="245"/>
      <c r="U149" s="245"/>
      <c r="V149" s="245"/>
      <c r="W149" s="245"/>
      <c r="X149" s="245"/>
      <c r="Y149" s="245"/>
      <c r="Z149" s="245"/>
      <c r="AA149" s="245"/>
      <c r="AB149" s="245"/>
    </row>
    <row r="150" spans="1:28" ht="14.1" customHeight="1">
      <c r="A150" s="245"/>
      <c r="B150" s="245"/>
      <c r="C150" s="388"/>
      <c r="D150" s="389">
        <v>2004</v>
      </c>
      <c r="E150" s="390">
        <v>1.52E-2</v>
      </c>
      <c r="F150" s="391">
        <v>1.32E-2</v>
      </c>
      <c r="G150" s="245"/>
      <c r="H150" s="245"/>
      <c r="I150" s="245"/>
      <c r="J150" s="245"/>
      <c r="K150" s="245"/>
      <c r="L150" s="245"/>
      <c r="M150" s="245"/>
      <c r="N150" s="245"/>
      <c r="O150" s="245"/>
      <c r="P150" s="245"/>
      <c r="Q150" s="245"/>
      <c r="R150" s="245"/>
      <c r="S150" s="245"/>
      <c r="T150" s="245"/>
      <c r="U150" s="245"/>
      <c r="V150" s="245"/>
      <c r="W150" s="245"/>
      <c r="X150" s="245"/>
      <c r="Y150" s="245"/>
      <c r="Z150" s="245"/>
      <c r="AA150" s="245"/>
      <c r="AB150" s="245"/>
    </row>
    <row r="151" spans="1:28" ht="14.1" customHeight="1">
      <c r="A151" s="245"/>
      <c r="B151" s="245"/>
      <c r="C151" s="388"/>
      <c r="D151" s="389">
        <v>2005</v>
      </c>
      <c r="E151" s="390">
        <v>1.5699999999999999E-2</v>
      </c>
      <c r="F151" s="391">
        <v>1.01E-2</v>
      </c>
      <c r="G151" s="245"/>
      <c r="H151" s="245"/>
      <c r="I151" s="245"/>
      <c r="J151" s="245"/>
      <c r="K151" s="245"/>
      <c r="L151" s="245"/>
      <c r="M151" s="245"/>
      <c r="N151" s="245"/>
      <c r="O151" s="245"/>
      <c r="P151" s="245"/>
      <c r="Q151" s="245"/>
      <c r="R151" s="245"/>
      <c r="S151" s="245"/>
      <c r="T151" s="245"/>
      <c r="U151" s="245"/>
      <c r="V151" s="245"/>
      <c r="W151" s="245"/>
      <c r="X151" s="245"/>
      <c r="Y151" s="245"/>
      <c r="Z151" s="245"/>
      <c r="AA151" s="245"/>
      <c r="AB151" s="245"/>
    </row>
    <row r="152" spans="1:28" ht="14.1" customHeight="1">
      <c r="A152" s="245"/>
      <c r="B152" s="245"/>
      <c r="C152" s="388"/>
      <c r="D152" s="389">
        <v>2006</v>
      </c>
      <c r="E152" s="390">
        <v>1.5925000000000002E-2</v>
      </c>
      <c r="F152" s="391">
        <v>8.8749999999999992E-3</v>
      </c>
      <c r="G152" s="245"/>
      <c r="H152" s="245"/>
      <c r="I152" s="245"/>
      <c r="J152" s="245"/>
      <c r="K152" s="245"/>
      <c r="L152" s="245"/>
      <c r="M152" s="245"/>
      <c r="N152" s="245"/>
      <c r="O152" s="245"/>
      <c r="P152" s="245"/>
      <c r="Q152" s="245"/>
      <c r="R152" s="245"/>
      <c r="S152" s="245"/>
      <c r="T152" s="245"/>
      <c r="U152" s="245"/>
      <c r="V152" s="245"/>
      <c r="W152" s="245"/>
      <c r="X152" s="245"/>
      <c r="Y152" s="245"/>
      <c r="Z152" s="245"/>
      <c r="AA152" s="245"/>
      <c r="AB152" s="245"/>
    </row>
    <row r="153" spans="1:28" ht="14.1" customHeight="1">
      <c r="A153" s="245"/>
      <c r="B153" s="245"/>
      <c r="C153" s="388"/>
      <c r="D153" s="389">
        <v>2007</v>
      </c>
      <c r="E153" s="390">
        <v>1.609E-2</v>
      </c>
      <c r="F153" s="391">
        <v>7.8739999999999991E-3</v>
      </c>
      <c r="G153" s="245"/>
      <c r="H153" s="245"/>
      <c r="I153" s="245"/>
      <c r="J153" s="245"/>
      <c r="K153" s="245"/>
      <c r="L153" s="245"/>
      <c r="M153" s="245"/>
      <c r="N153" s="245"/>
      <c r="O153" s="245"/>
      <c r="P153" s="245"/>
      <c r="Q153" s="245"/>
      <c r="R153" s="245"/>
      <c r="S153" s="245"/>
      <c r="T153" s="245"/>
      <c r="U153" s="245"/>
      <c r="V153" s="245"/>
      <c r="W153" s="245"/>
      <c r="X153" s="245"/>
      <c r="Y153" s="245"/>
      <c r="Z153" s="245"/>
      <c r="AA153" s="245"/>
      <c r="AB153" s="245"/>
    </row>
    <row r="154" spans="1:28" ht="14.1" customHeight="1">
      <c r="A154" s="245"/>
      <c r="B154" s="245"/>
      <c r="C154" s="388"/>
      <c r="D154" s="389">
        <v>2008</v>
      </c>
      <c r="E154" s="390">
        <v>1.6299999999999999E-2</v>
      </c>
      <c r="F154" s="391">
        <v>6.6E-3</v>
      </c>
      <c r="G154" s="245"/>
      <c r="H154" s="245"/>
      <c r="I154" s="245"/>
      <c r="J154" s="245"/>
      <c r="K154" s="245"/>
      <c r="L154" s="245"/>
      <c r="M154" s="245"/>
      <c r="N154" s="245"/>
      <c r="O154" s="245"/>
      <c r="P154" s="245"/>
      <c r="Q154" s="245"/>
      <c r="R154" s="245"/>
      <c r="S154" s="245"/>
      <c r="T154" s="245"/>
      <c r="U154" s="245"/>
      <c r="V154" s="245"/>
      <c r="W154" s="245"/>
      <c r="X154" s="245"/>
      <c r="Y154" s="245"/>
      <c r="Z154" s="245"/>
      <c r="AA154" s="245"/>
      <c r="AB154" s="245"/>
    </row>
    <row r="155" spans="1:28" ht="14.1" customHeight="1" thickBot="1">
      <c r="A155" s="245"/>
      <c r="B155" s="245"/>
      <c r="C155" s="392"/>
      <c r="D155" s="393" t="s">
        <v>1507</v>
      </c>
      <c r="E155" s="394">
        <v>1.6299999999999999E-2</v>
      </c>
      <c r="F155" s="395">
        <v>6.6E-3</v>
      </c>
      <c r="G155" s="245"/>
      <c r="H155" s="245"/>
      <c r="I155" s="245"/>
      <c r="J155" s="245"/>
      <c r="K155" s="245"/>
      <c r="L155" s="245"/>
      <c r="M155" s="245"/>
      <c r="N155" s="245"/>
      <c r="O155" s="245"/>
      <c r="P155" s="245"/>
      <c r="Q155" s="245"/>
      <c r="R155" s="245"/>
      <c r="S155" s="245"/>
      <c r="T155" s="245"/>
      <c r="U155" s="245"/>
      <c r="V155" s="245"/>
      <c r="W155" s="245"/>
      <c r="X155" s="245"/>
      <c r="Y155" s="245"/>
      <c r="Z155" s="245"/>
      <c r="AA155" s="245"/>
      <c r="AB155" s="245"/>
    </row>
    <row r="156" spans="1:28" ht="14.1" customHeight="1">
      <c r="A156" s="245"/>
      <c r="B156" s="245"/>
      <c r="C156" s="384" t="s">
        <v>1511</v>
      </c>
      <c r="D156" s="385" t="s">
        <v>1512</v>
      </c>
      <c r="E156" s="386">
        <v>0.40899999999999997</v>
      </c>
      <c r="F156" s="387">
        <v>5.1499999999999997E-2</v>
      </c>
      <c r="G156" s="245"/>
      <c r="H156" s="245"/>
      <c r="I156" s="245"/>
      <c r="J156" s="245"/>
      <c r="K156" s="245"/>
      <c r="L156" s="245"/>
      <c r="M156" s="245"/>
      <c r="N156" s="245"/>
      <c r="O156" s="245"/>
      <c r="P156" s="245"/>
      <c r="Q156" s="245"/>
      <c r="R156" s="245"/>
      <c r="S156" s="245"/>
      <c r="T156" s="245"/>
      <c r="U156" s="245"/>
      <c r="V156" s="245"/>
      <c r="W156" s="245"/>
      <c r="X156" s="245"/>
      <c r="Y156" s="245"/>
      <c r="Z156" s="245"/>
      <c r="AA156" s="245"/>
      <c r="AB156" s="245"/>
    </row>
    <row r="157" spans="1:28" ht="14.1" customHeight="1">
      <c r="A157" s="245"/>
      <c r="B157" s="245"/>
      <c r="C157" s="388"/>
      <c r="D157" s="389">
        <v>1987</v>
      </c>
      <c r="E157" s="390">
        <v>0.36749999999999999</v>
      </c>
      <c r="F157" s="391">
        <v>8.4900000000000003E-2</v>
      </c>
      <c r="G157" s="245"/>
      <c r="H157" s="245"/>
      <c r="I157" s="245"/>
      <c r="J157" s="245"/>
      <c r="K157" s="245"/>
      <c r="L157" s="245"/>
      <c r="M157" s="245"/>
      <c r="N157" s="245"/>
      <c r="O157" s="245"/>
      <c r="P157" s="245"/>
      <c r="Q157" s="245"/>
      <c r="R157" s="245"/>
      <c r="S157" s="245"/>
      <c r="T157" s="245"/>
      <c r="U157" s="245"/>
      <c r="V157" s="245"/>
      <c r="W157" s="245"/>
      <c r="X157" s="245"/>
      <c r="Y157" s="245"/>
      <c r="Z157" s="245"/>
      <c r="AA157" s="245"/>
      <c r="AB157" s="245"/>
    </row>
    <row r="158" spans="1:28" ht="14.1" customHeight="1">
      <c r="A158" s="245"/>
      <c r="B158" s="245"/>
      <c r="C158" s="388"/>
      <c r="D158" s="389" t="s">
        <v>1513</v>
      </c>
      <c r="E158" s="390">
        <v>0.34920000000000001</v>
      </c>
      <c r="F158" s="391">
        <v>9.3299999999999994E-2</v>
      </c>
      <c r="G158" s="245"/>
      <c r="H158" s="245"/>
      <c r="I158" s="245"/>
      <c r="J158" s="245"/>
      <c r="K158" s="245"/>
      <c r="L158" s="245"/>
      <c r="M158" s="245"/>
      <c r="N158" s="245"/>
      <c r="O158" s="245"/>
      <c r="P158" s="245"/>
      <c r="Q158" s="245"/>
      <c r="R158" s="245"/>
      <c r="S158" s="245"/>
      <c r="T158" s="245"/>
      <c r="U158" s="245"/>
      <c r="V158" s="245"/>
      <c r="W158" s="245"/>
      <c r="X158" s="245"/>
      <c r="Y158" s="245"/>
      <c r="Z158" s="245"/>
      <c r="AA158" s="245"/>
      <c r="AB158" s="245"/>
    </row>
    <row r="159" spans="1:28" ht="14.1" customHeight="1">
      <c r="A159" s="245"/>
      <c r="B159" s="245"/>
      <c r="C159" s="388"/>
      <c r="D159" s="389" t="s">
        <v>1514</v>
      </c>
      <c r="E159" s="390">
        <v>0.3246</v>
      </c>
      <c r="F159" s="391">
        <v>0.1142</v>
      </c>
      <c r="G159" s="245"/>
      <c r="H159" s="245"/>
      <c r="I159" s="245"/>
      <c r="J159" s="245"/>
      <c r="K159" s="245"/>
      <c r="L159" s="245"/>
      <c r="M159" s="245"/>
      <c r="N159" s="245"/>
      <c r="O159" s="245"/>
      <c r="P159" s="245"/>
      <c r="Q159" s="245"/>
      <c r="R159" s="245"/>
      <c r="S159" s="245"/>
      <c r="T159" s="245"/>
      <c r="U159" s="245"/>
      <c r="V159" s="245"/>
      <c r="W159" s="245"/>
      <c r="X159" s="245"/>
      <c r="Y159" s="245"/>
      <c r="Z159" s="245"/>
      <c r="AA159" s="245"/>
      <c r="AB159" s="245"/>
    </row>
    <row r="160" spans="1:28" ht="14.1" customHeight="1">
      <c r="A160" s="245"/>
      <c r="B160" s="245"/>
      <c r="C160" s="388"/>
      <c r="D160" s="389">
        <v>1996</v>
      </c>
      <c r="E160" s="390">
        <v>0.1278</v>
      </c>
      <c r="F160" s="391">
        <v>0.16800000000000001</v>
      </c>
      <c r="G160" s="245"/>
      <c r="H160" s="245"/>
      <c r="I160" s="245"/>
      <c r="J160" s="245"/>
      <c r="K160" s="245"/>
      <c r="L160" s="245"/>
      <c r="M160" s="245"/>
      <c r="N160" s="245"/>
      <c r="O160" s="245"/>
      <c r="P160" s="245"/>
      <c r="Q160" s="245"/>
      <c r="R160" s="245"/>
      <c r="S160" s="245"/>
      <c r="T160" s="245"/>
      <c r="U160" s="245"/>
      <c r="V160" s="245"/>
      <c r="W160" s="245"/>
      <c r="X160" s="245"/>
      <c r="Y160" s="245"/>
      <c r="Z160" s="245"/>
      <c r="AA160" s="245"/>
      <c r="AB160" s="245"/>
    </row>
    <row r="161" spans="1:28" ht="14.1" customHeight="1">
      <c r="A161" s="245"/>
      <c r="B161" s="245"/>
      <c r="C161" s="388"/>
      <c r="D161" s="389">
        <v>1997</v>
      </c>
      <c r="E161" s="390">
        <v>9.2399999999999996E-2</v>
      </c>
      <c r="F161" s="391">
        <v>0.1726</v>
      </c>
      <c r="G161" s="245"/>
      <c r="H161" s="245"/>
      <c r="I161" s="245"/>
      <c r="J161" s="245"/>
      <c r="K161" s="245"/>
      <c r="L161" s="245"/>
      <c r="M161" s="245"/>
      <c r="N161" s="245"/>
      <c r="O161" s="245"/>
      <c r="P161" s="245"/>
      <c r="Q161" s="245"/>
      <c r="R161" s="245"/>
      <c r="S161" s="245"/>
      <c r="T161" s="245"/>
      <c r="U161" s="245"/>
      <c r="V161" s="245"/>
      <c r="W161" s="245"/>
      <c r="X161" s="245"/>
      <c r="Y161" s="245"/>
      <c r="Z161" s="245"/>
      <c r="AA161" s="245"/>
      <c r="AB161" s="245"/>
    </row>
    <row r="162" spans="1:28" ht="14.1" customHeight="1">
      <c r="A162" s="245"/>
      <c r="B162" s="245"/>
      <c r="C162" s="388"/>
      <c r="D162" s="389">
        <v>1998</v>
      </c>
      <c r="E162" s="390">
        <v>6.4100000000000004E-2</v>
      </c>
      <c r="F162" s="391">
        <v>0.16930000000000001</v>
      </c>
      <c r="G162" s="245"/>
      <c r="H162" s="245"/>
      <c r="I162" s="245"/>
      <c r="J162" s="245"/>
      <c r="K162" s="245"/>
      <c r="L162" s="245"/>
      <c r="M162" s="245"/>
      <c r="N162" s="245"/>
      <c r="O162" s="245"/>
      <c r="P162" s="245"/>
      <c r="Q162" s="245"/>
      <c r="R162" s="245"/>
      <c r="S162" s="245"/>
      <c r="T162" s="245"/>
      <c r="U162" s="245"/>
      <c r="V162" s="245"/>
      <c r="W162" s="245"/>
      <c r="X162" s="245"/>
      <c r="Y162" s="245"/>
      <c r="Z162" s="245"/>
      <c r="AA162" s="245"/>
      <c r="AB162" s="245"/>
    </row>
    <row r="163" spans="1:28" ht="14.1" customHeight="1">
      <c r="A163" s="245"/>
      <c r="B163" s="245"/>
      <c r="C163" s="388"/>
      <c r="D163" s="389">
        <v>1999</v>
      </c>
      <c r="E163" s="390">
        <v>5.7799999999999997E-2</v>
      </c>
      <c r="F163" s="391">
        <v>0.14349999999999999</v>
      </c>
      <c r="G163" s="245"/>
      <c r="H163" s="245"/>
      <c r="I163" s="245"/>
      <c r="J163" s="245"/>
      <c r="K163" s="245"/>
      <c r="L163" s="245"/>
      <c r="M163" s="245"/>
      <c r="N163" s="245"/>
      <c r="O163" s="245"/>
      <c r="P163" s="245"/>
      <c r="Q163" s="245"/>
      <c r="R163" s="245"/>
      <c r="S163" s="245"/>
      <c r="T163" s="245"/>
      <c r="U163" s="245"/>
      <c r="V163" s="245"/>
      <c r="W163" s="245"/>
      <c r="X163" s="245"/>
      <c r="Y163" s="245"/>
      <c r="Z163" s="245"/>
      <c r="AA163" s="245"/>
      <c r="AB163" s="245"/>
    </row>
    <row r="164" spans="1:28" ht="14.1" customHeight="1">
      <c r="A164" s="245"/>
      <c r="B164" s="245"/>
      <c r="C164" s="388"/>
      <c r="D164" s="389">
        <v>2000</v>
      </c>
      <c r="E164" s="390">
        <v>4.9299999999999997E-2</v>
      </c>
      <c r="F164" s="391">
        <v>0.10920000000000001</v>
      </c>
      <c r="G164" s="245"/>
      <c r="H164" s="245"/>
      <c r="I164" s="245"/>
      <c r="J164" s="245"/>
      <c r="K164" s="245"/>
      <c r="L164" s="245"/>
      <c r="M164" s="245"/>
      <c r="N164" s="245"/>
      <c r="O164" s="245"/>
      <c r="P164" s="245"/>
      <c r="Q164" s="245"/>
      <c r="R164" s="245"/>
      <c r="S164" s="245"/>
      <c r="T164" s="245"/>
      <c r="U164" s="245"/>
      <c r="V164" s="245"/>
      <c r="W164" s="245"/>
      <c r="X164" s="245"/>
      <c r="Y164" s="245"/>
      <c r="Z164" s="245"/>
      <c r="AA164" s="245"/>
      <c r="AB164" s="245"/>
    </row>
    <row r="165" spans="1:28" ht="14.1" customHeight="1">
      <c r="A165" s="245"/>
      <c r="B165" s="245"/>
      <c r="C165" s="388"/>
      <c r="D165" s="389">
        <v>2001</v>
      </c>
      <c r="E165" s="390">
        <v>5.28E-2</v>
      </c>
      <c r="F165" s="391">
        <v>0.1235</v>
      </c>
      <c r="G165" s="245"/>
      <c r="H165" s="245"/>
      <c r="I165" s="245"/>
      <c r="J165" s="245"/>
      <c r="K165" s="245"/>
      <c r="L165" s="245"/>
      <c r="M165" s="245"/>
      <c r="N165" s="245"/>
      <c r="O165" s="245"/>
      <c r="P165" s="245"/>
      <c r="Q165" s="245"/>
      <c r="R165" s="245"/>
      <c r="S165" s="245"/>
      <c r="T165" s="245"/>
      <c r="U165" s="245"/>
      <c r="V165" s="245"/>
      <c r="W165" s="245"/>
      <c r="X165" s="245"/>
      <c r="Y165" s="245"/>
      <c r="Z165" s="245"/>
      <c r="AA165" s="245"/>
      <c r="AB165" s="245"/>
    </row>
    <row r="166" spans="1:28" ht="14.1" customHeight="1">
      <c r="A166" s="245"/>
      <c r="B166" s="245"/>
      <c r="C166" s="388"/>
      <c r="D166" s="389">
        <v>2002</v>
      </c>
      <c r="E166" s="390">
        <v>5.4600000000000003E-2</v>
      </c>
      <c r="F166" s="391">
        <v>0.13070000000000001</v>
      </c>
      <c r="G166" s="245"/>
      <c r="H166" s="245"/>
      <c r="I166" s="245"/>
      <c r="J166" s="245"/>
      <c r="K166" s="245"/>
      <c r="L166" s="245"/>
      <c r="M166" s="245"/>
      <c r="N166" s="245"/>
      <c r="O166" s="245"/>
      <c r="P166" s="245"/>
      <c r="Q166" s="245"/>
      <c r="R166" s="245"/>
      <c r="S166" s="245"/>
      <c r="T166" s="245"/>
      <c r="U166" s="245"/>
      <c r="V166" s="245"/>
      <c r="W166" s="245"/>
      <c r="X166" s="245"/>
      <c r="Y166" s="245"/>
      <c r="Z166" s="245"/>
      <c r="AA166" s="245"/>
      <c r="AB166" s="245"/>
    </row>
    <row r="167" spans="1:28" ht="14.1" customHeight="1">
      <c r="A167" s="245"/>
      <c r="B167" s="245"/>
      <c r="C167" s="388"/>
      <c r="D167" s="389">
        <v>2003</v>
      </c>
      <c r="E167" s="390">
        <v>5.33E-2</v>
      </c>
      <c r="F167" s="391">
        <v>0.124</v>
      </c>
      <c r="G167" s="245"/>
      <c r="H167" s="245"/>
      <c r="I167" s="245"/>
      <c r="J167" s="245"/>
      <c r="K167" s="245"/>
      <c r="L167" s="245"/>
      <c r="M167" s="245"/>
      <c r="N167" s="245"/>
      <c r="O167" s="245"/>
      <c r="P167" s="245"/>
      <c r="Q167" s="245"/>
      <c r="R167" s="245"/>
      <c r="S167" s="245"/>
      <c r="T167" s="245"/>
      <c r="U167" s="245"/>
      <c r="V167" s="245"/>
      <c r="W167" s="245"/>
      <c r="X167" s="245"/>
      <c r="Y167" s="245"/>
      <c r="Z167" s="245"/>
      <c r="AA167" s="245"/>
      <c r="AB167" s="245"/>
    </row>
    <row r="168" spans="1:28" ht="14.1" customHeight="1">
      <c r="A168" s="245"/>
      <c r="B168" s="245"/>
      <c r="C168" s="388"/>
      <c r="D168" s="389">
        <v>2004</v>
      </c>
      <c r="E168" s="390">
        <v>3.4099999999999998E-2</v>
      </c>
      <c r="F168" s="391">
        <v>2.8500000000000001E-2</v>
      </c>
      <c r="G168" s="245"/>
      <c r="H168" s="245"/>
      <c r="I168" s="245"/>
      <c r="J168" s="245"/>
      <c r="K168" s="245"/>
      <c r="L168" s="245"/>
      <c r="M168" s="245"/>
      <c r="N168" s="245"/>
      <c r="O168" s="245"/>
      <c r="P168" s="245"/>
      <c r="Q168" s="245"/>
      <c r="R168" s="245"/>
      <c r="S168" s="245"/>
      <c r="T168" s="245"/>
      <c r="U168" s="245"/>
      <c r="V168" s="245"/>
      <c r="W168" s="245"/>
      <c r="X168" s="245"/>
      <c r="Y168" s="245"/>
      <c r="Z168" s="245"/>
      <c r="AA168" s="245"/>
      <c r="AB168" s="245"/>
    </row>
    <row r="169" spans="1:28">
      <c r="A169" s="245"/>
      <c r="B169" s="245"/>
      <c r="C169" s="388"/>
      <c r="D169" s="389">
        <v>2005</v>
      </c>
      <c r="E169" s="390">
        <v>3.2599999999999997E-2</v>
      </c>
      <c r="F169" s="391">
        <v>1.77E-2</v>
      </c>
      <c r="G169" s="245"/>
      <c r="H169" s="245"/>
      <c r="I169" s="245"/>
      <c r="J169" s="245"/>
      <c r="K169" s="245"/>
      <c r="L169" s="245"/>
      <c r="M169" s="245"/>
      <c r="N169" s="245"/>
      <c r="O169" s="245"/>
      <c r="P169" s="245"/>
      <c r="Q169" s="245"/>
      <c r="R169" s="245"/>
      <c r="S169" s="245"/>
      <c r="T169" s="245"/>
      <c r="U169" s="245"/>
      <c r="V169" s="245"/>
      <c r="W169" s="245"/>
      <c r="X169" s="245"/>
      <c r="Y169" s="245"/>
      <c r="Z169" s="245"/>
      <c r="AA169" s="245"/>
      <c r="AB169" s="245"/>
    </row>
    <row r="170" spans="1:28" ht="14.1" customHeight="1">
      <c r="A170" s="245"/>
      <c r="B170" s="245"/>
      <c r="C170" s="388"/>
      <c r="D170" s="389">
        <v>2006</v>
      </c>
      <c r="E170" s="390">
        <v>3.2640000000000002E-2</v>
      </c>
      <c r="F170" s="391">
        <v>1.7492000000000001E-2</v>
      </c>
      <c r="G170" s="245"/>
      <c r="H170" s="245"/>
      <c r="I170" s="245"/>
      <c r="J170" s="245"/>
      <c r="K170" s="245"/>
      <c r="L170" s="245"/>
      <c r="M170" s="245"/>
      <c r="N170" s="245"/>
      <c r="O170" s="245"/>
      <c r="P170" s="245"/>
      <c r="Q170" s="245"/>
      <c r="R170" s="245"/>
      <c r="S170" s="245"/>
      <c r="T170" s="245"/>
      <c r="U170" s="245"/>
      <c r="V170" s="245"/>
      <c r="W170" s="245"/>
      <c r="X170" s="245"/>
      <c r="Y170" s="245"/>
      <c r="Z170" s="245"/>
      <c r="AA170" s="245"/>
      <c r="AB170" s="245"/>
    </row>
    <row r="171" spans="1:28" ht="14.1" customHeight="1">
      <c r="A171" s="245"/>
      <c r="B171" s="245"/>
      <c r="C171" s="388"/>
      <c r="D171" s="389">
        <v>2007</v>
      </c>
      <c r="E171" s="390">
        <v>3.2670000000000005E-2</v>
      </c>
      <c r="F171" s="391">
        <v>1.7306000000000002E-2</v>
      </c>
      <c r="G171" s="245"/>
      <c r="H171" s="245"/>
      <c r="I171" s="245"/>
      <c r="J171" s="245"/>
      <c r="K171" s="245"/>
      <c r="L171" s="245"/>
      <c r="M171" s="245"/>
      <c r="N171" s="245"/>
      <c r="O171" s="245"/>
      <c r="P171" s="245"/>
      <c r="Q171" s="245"/>
      <c r="R171" s="245"/>
      <c r="S171" s="245"/>
      <c r="T171" s="245"/>
      <c r="U171" s="245"/>
      <c r="V171" s="245"/>
      <c r="W171" s="245"/>
      <c r="X171" s="245"/>
      <c r="Y171" s="245"/>
      <c r="Z171" s="245"/>
      <c r="AA171" s="245"/>
      <c r="AB171" s="245"/>
    </row>
    <row r="172" spans="1:28" ht="14.1" customHeight="1">
      <c r="A172" s="245"/>
      <c r="B172" s="245"/>
      <c r="C172" s="388"/>
      <c r="D172" s="389">
        <v>2008</v>
      </c>
      <c r="E172" s="390">
        <v>3.2700000000000007E-2</v>
      </c>
      <c r="F172" s="391">
        <v>1.712E-2</v>
      </c>
      <c r="G172" s="245"/>
      <c r="H172" s="245"/>
      <c r="I172" s="245"/>
      <c r="J172" s="245"/>
      <c r="K172" s="245"/>
      <c r="L172" s="245"/>
      <c r="M172" s="245"/>
      <c r="N172" s="245"/>
      <c r="O172" s="245"/>
      <c r="P172" s="245"/>
      <c r="Q172" s="245"/>
      <c r="R172" s="245"/>
      <c r="S172" s="245"/>
      <c r="T172" s="245"/>
      <c r="U172" s="245"/>
      <c r="V172" s="245"/>
      <c r="W172" s="245"/>
      <c r="X172" s="245"/>
      <c r="Y172" s="245"/>
      <c r="Z172" s="245"/>
      <c r="AA172" s="245"/>
      <c r="AB172" s="245"/>
    </row>
    <row r="173" spans="1:28" ht="14.1" customHeight="1" thickBot="1">
      <c r="A173" s="245"/>
      <c r="B173" s="245"/>
      <c r="C173" s="392"/>
      <c r="D173" s="393" t="s">
        <v>1507</v>
      </c>
      <c r="E173" s="394">
        <v>3.2730000000000002E-2</v>
      </c>
      <c r="F173" s="395">
        <v>1.6934000000000001E-2</v>
      </c>
      <c r="G173" s="245"/>
      <c r="H173" s="245"/>
      <c r="I173" s="245"/>
      <c r="J173" s="245"/>
      <c r="K173" s="245"/>
      <c r="L173" s="245"/>
      <c r="M173" s="245"/>
      <c r="N173" s="245"/>
      <c r="O173" s="245"/>
      <c r="P173" s="245"/>
      <c r="Q173" s="245"/>
      <c r="R173" s="245"/>
      <c r="S173" s="245"/>
      <c r="T173" s="245"/>
      <c r="U173" s="245"/>
      <c r="V173" s="245"/>
      <c r="W173" s="245"/>
      <c r="X173" s="245"/>
      <c r="Y173" s="245"/>
      <c r="Z173" s="245"/>
      <c r="AA173" s="245"/>
      <c r="AB173" s="245"/>
    </row>
    <row r="174" spans="1:28" s="266" customFormat="1" ht="14.1" customHeight="1">
      <c r="A174" s="259"/>
      <c r="B174" s="248"/>
      <c r="C174" s="355" t="s">
        <v>1481</v>
      </c>
      <c r="D174" s="356"/>
      <c r="E174" s="356"/>
      <c r="F174" s="356"/>
      <c r="G174" s="356"/>
      <c r="H174" s="356"/>
      <c r="I174" s="356"/>
      <c r="J174" s="356"/>
      <c r="K174" s="356"/>
      <c r="L174" s="259"/>
      <c r="M174" s="259"/>
      <c r="N174" s="357"/>
      <c r="O174" s="259"/>
      <c r="P174" s="259"/>
      <c r="Q174" s="259"/>
      <c r="R174" s="259"/>
      <c r="S174" s="259"/>
      <c r="T174" s="259"/>
      <c r="U174" s="259"/>
      <c r="V174" s="259"/>
      <c r="W174" s="259"/>
      <c r="X174" s="259"/>
      <c r="Y174" s="259"/>
      <c r="Z174" s="259"/>
      <c r="AA174" s="259"/>
      <c r="AB174" s="259"/>
    </row>
    <row r="175" spans="1:28">
      <c r="A175" s="245"/>
      <c r="B175" s="246"/>
      <c r="C175" s="374" t="s">
        <v>1515</v>
      </c>
      <c r="D175" s="374"/>
      <c r="E175" s="374"/>
      <c r="F175" s="374"/>
      <c r="G175" s="374"/>
      <c r="H175" s="245"/>
      <c r="I175" s="245"/>
      <c r="J175" s="245"/>
      <c r="K175" s="245"/>
      <c r="L175" s="245"/>
      <c r="M175" s="245"/>
      <c r="N175" s="245"/>
      <c r="O175" s="245"/>
      <c r="P175" s="245"/>
      <c r="Q175" s="245"/>
      <c r="R175" s="245"/>
      <c r="S175" s="245"/>
      <c r="T175" s="245"/>
      <c r="U175" s="245"/>
      <c r="V175" s="245"/>
      <c r="W175" s="245"/>
      <c r="X175" s="245"/>
      <c r="Y175" s="245"/>
      <c r="Z175" s="245"/>
      <c r="AA175" s="245"/>
      <c r="AB175" s="245"/>
    </row>
    <row r="176" spans="1:28">
      <c r="A176" s="245"/>
      <c r="B176" s="246"/>
      <c r="C176" s="374" t="s">
        <v>1516</v>
      </c>
      <c r="D176" s="374"/>
      <c r="E176" s="374"/>
      <c r="F176" s="374"/>
      <c r="G176" s="374"/>
      <c r="H176" s="245"/>
      <c r="I176" s="245"/>
      <c r="J176" s="245"/>
      <c r="K176" s="245"/>
      <c r="L176" s="245"/>
      <c r="M176" s="245"/>
      <c r="N176" s="245"/>
      <c r="O176" s="245"/>
      <c r="P176" s="245"/>
      <c r="Q176" s="245"/>
      <c r="R176" s="245"/>
      <c r="S176" s="245"/>
      <c r="T176" s="245"/>
      <c r="U176" s="245"/>
      <c r="V176" s="245"/>
      <c r="W176" s="245"/>
      <c r="X176" s="245"/>
      <c r="Y176" s="245"/>
      <c r="Z176" s="245"/>
      <c r="AA176" s="245"/>
      <c r="AB176" s="245"/>
    </row>
    <row r="177" spans="1:28" ht="14.1" customHeight="1">
      <c r="A177" s="245"/>
      <c r="B177" s="246"/>
      <c r="C177" s="245"/>
      <c r="D177" s="245"/>
      <c r="E177" s="245"/>
      <c r="F177" s="245"/>
      <c r="G177" s="245"/>
      <c r="H177" s="245"/>
      <c r="I177" s="245"/>
      <c r="J177" s="245"/>
      <c r="K177" s="245"/>
      <c r="L177" s="245"/>
      <c r="M177" s="245"/>
      <c r="N177" s="245"/>
      <c r="O177" s="245"/>
      <c r="P177" s="245"/>
      <c r="Q177" s="245"/>
      <c r="R177" s="245"/>
      <c r="S177" s="245"/>
      <c r="T177" s="245"/>
      <c r="U177" s="245"/>
      <c r="V177" s="245"/>
      <c r="W177" s="245"/>
      <c r="X177" s="245"/>
      <c r="Y177" s="245"/>
      <c r="Z177" s="245"/>
      <c r="AA177" s="245"/>
      <c r="AB177" s="245"/>
    </row>
    <row r="178" spans="1:28" ht="14.1" customHeight="1">
      <c r="A178" s="245"/>
      <c r="B178" s="246"/>
      <c r="C178" s="245"/>
      <c r="D178" s="245"/>
      <c r="E178" s="245"/>
      <c r="F178" s="245"/>
      <c r="G178" s="245"/>
      <c r="H178" s="245"/>
      <c r="I178" s="245"/>
      <c r="J178" s="245"/>
      <c r="K178" s="245"/>
      <c r="L178" s="245"/>
      <c r="M178" s="245"/>
      <c r="N178" s="245"/>
      <c r="O178" s="245"/>
      <c r="P178" s="245"/>
      <c r="Q178" s="245"/>
      <c r="R178" s="245"/>
      <c r="S178" s="245"/>
      <c r="T178" s="245"/>
      <c r="U178" s="245"/>
      <c r="V178" s="245"/>
      <c r="W178" s="245"/>
      <c r="X178" s="245"/>
      <c r="Y178" s="245"/>
      <c r="Z178" s="245"/>
      <c r="AA178" s="245"/>
      <c r="AB178" s="245"/>
    </row>
    <row r="179" spans="1:28" ht="18" customHeight="1">
      <c r="B179" s="376" t="s">
        <v>1517</v>
      </c>
      <c r="C179" s="377" t="s">
        <v>1518</v>
      </c>
      <c r="D179" s="378"/>
      <c r="E179" s="378"/>
      <c r="F179" s="379"/>
      <c r="G179" s="378"/>
      <c r="H179" s="378"/>
      <c r="I179" s="378"/>
      <c r="J179" s="378"/>
      <c r="K179" s="378"/>
      <c r="L179" s="379"/>
      <c r="M179" s="245"/>
      <c r="N179" s="245"/>
      <c r="O179" s="245"/>
      <c r="P179" s="245"/>
      <c r="Q179" s="245"/>
      <c r="R179" s="245"/>
      <c r="S179" s="245"/>
      <c r="T179" s="245"/>
      <c r="U179" s="245"/>
      <c r="V179" s="245"/>
      <c r="W179" s="245"/>
      <c r="X179" s="245"/>
      <c r="Y179" s="245"/>
      <c r="Z179" s="245"/>
      <c r="AA179" s="245"/>
      <c r="AB179" s="245"/>
    </row>
    <row r="180" spans="1:28" ht="14.1" customHeight="1" thickBot="1">
      <c r="A180" s="245"/>
      <c r="B180" s="245"/>
      <c r="C180" s="396"/>
      <c r="D180" s="396"/>
      <c r="E180" s="396"/>
      <c r="F180" s="396"/>
      <c r="G180" s="245"/>
      <c r="H180" s="245"/>
      <c r="I180" s="245"/>
      <c r="J180" s="245"/>
      <c r="K180" s="245"/>
      <c r="L180" s="245"/>
      <c r="M180" s="245"/>
      <c r="N180" s="245"/>
      <c r="O180" s="245"/>
      <c r="P180" s="245"/>
      <c r="Q180" s="245"/>
      <c r="R180" s="245"/>
      <c r="S180" s="245"/>
      <c r="T180" s="245"/>
      <c r="U180" s="245"/>
      <c r="V180" s="245"/>
      <c r="W180" s="245"/>
      <c r="X180" s="245"/>
      <c r="Y180" s="245"/>
      <c r="Z180" s="245"/>
      <c r="AA180" s="245"/>
      <c r="AB180" s="245"/>
    </row>
    <row r="181" spans="1:28" ht="32.1" customHeight="1" thickBot="1">
      <c r="A181" s="245"/>
      <c r="B181" s="245"/>
      <c r="C181" s="397" t="s">
        <v>1501</v>
      </c>
      <c r="D181" s="382" t="s">
        <v>1519</v>
      </c>
      <c r="E181" s="382" t="s">
        <v>1520</v>
      </c>
      <c r="F181" s="383" t="s">
        <v>1504</v>
      </c>
      <c r="G181" s="245"/>
      <c r="H181" s="245"/>
      <c r="I181" s="245"/>
      <c r="J181" s="245"/>
      <c r="K181" s="245"/>
      <c r="L181" s="245"/>
      <c r="M181" s="245"/>
      <c r="N181" s="245"/>
      <c r="O181" s="245"/>
      <c r="P181" s="245"/>
      <c r="Q181" s="245"/>
      <c r="R181" s="245"/>
      <c r="S181" s="245"/>
      <c r="T181" s="245"/>
      <c r="U181" s="245"/>
      <c r="V181" s="245"/>
      <c r="W181" s="245"/>
      <c r="X181" s="245"/>
      <c r="Y181" s="245"/>
      <c r="Z181" s="245"/>
      <c r="AA181" s="245"/>
      <c r="AB181" s="245"/>
    </row>
    <row r="182" spans="1:28" ht="14.1" customHeight="1">
      <c r="A182" s="245"/>
      <c r="B182" s="245"/>
      <c r="C182" s="1025" t="s">
        <v>1521</v>
      </c>
      <c r="D182" s="398" t="s">
        <v>1522</v>
      </c>
      <c r="E182" s="399">
        <v>5.9999999999999995E-4</v>
      </c>
      <c r="F182" s="400">
        <v>1.1999999999999999E-3</v>
      </c>
      <c r="G182" s="245"/>
      <c r="H182" s="245"/>
      <c r="I182" s="245"/>
      <c r="J182" s="245"/>
      <c r="K182" s="245"/>
      <c r="L182" s="245"/>
      <c r="M182" s="245"/>
      <c r="N182" s="245"/>
      <c r="O182" s="245"/>
      <c r="P182" s="245"/>
      <c r="Q182" s="245"/>
      <c r="R182" s="245"/>
      <c r="S182" s="245"/>
      <c r="T182" s="245"/>
      <c r="U182" s="245"/>
      <c r="V182" s="245"/>
      <c r="W182" s="245"/>
      <c r="X182" s="245"/>
      <c r="Y182" s="245"/>
      <c r="Z182" s="245"/>
      <c r="AA182" s="245"/>
      <c r="AB182" s="245"/>
    </row>
    <row r="183" spans="1:28" ht="14.1" customHeight="1">
      <c r="A183" s="245"/>
      <c r="B183" s="245"/>
      <c r="C183" s="1026"/>
      <c r="D183" s="401" t="s">
        <v>1523</v>
      </c>
      <c r="E183" s="402">
        <v>5.0000000000000001E-4</v>
      </c>
      <c r="F183" s="403">
        <v>1E-3</v>
      </c>
      <c r="G183" s="245"/>
      <c r="H183" s="245"/>
      <c r="I183" s="245"/>
      <c r="J183" s="245"/>
      <c r="K183" s="245"/>
      <c r="L183" s="245"/>
      <c r="M183" s="245"/>
      <c r="N183" s="245"/>
      <c r="O183" s="245"/>
      <c r="P183" s="245"/>
      <c r="Q183" s="245"/>
      <c r="R183" s="245"/>
      <c r="S183" s="245"/>
      <c r="T183" s="245"/>
      <c r="U183" s="245"/>
      <c r="V183" s="245"/>
      <c r="W183" s="245"/>
      <c r="X183" s="245"/>
      <c r="Y183" s="245"/>
      <c r="Z183" s="245"/>
      <c r="AA183" s="245"/>
      <c r="AB183" s="245"/>
    </row>
    <row r="184" spans="1:28" ht="14.1" customHeight="1">
      <c r="A184" s="245"/>
      <c r="B184" s="404"/>
      <c r="C184" s="1027" t="s">
        <v>1524</v>
      </c>
      <c r="D184" s="405" t="s">
        <v>1522</v>
      </c>
      <c r="E184" s="406">
        <v>1.1000000000000001E-3</v>
      </c>
      <c r="F184" s="407">
        <v>1.6999999999999999E-3</v>
      </c>
      <c r="G184" s="245"/>
      <c r="H184" s="245"/>
      <c r="I184" s="245"/>
      <c r="J184" s="245"/>
      <c r="K184" s="245"/>
      <c r="L184" s="245"/>
      <c r="M184" s="245"/>
      <c r="N184" s="245"/>
      <c r="O184" s="245"/>
      <c r="P184" s="245"/>
      <c r="Q184" s="245"/>
      <c r="R184" s="245"/>
      <c r="S184" s="245"/>
      <c r="T184" s="245"/>
      <c r="U184" s="245"/>
      <c r="V184" s="245"/>
      <c r="W184" s="245"/>
      <c r="X184" s="245"/>
      <c r="Y184" s="245"/>
      <c r="Z184" s="245"/>
      <c r="AA184" s="245"/>
      <c r="AB184" s="245"/>
    </row>
    <row r="185" spans="1:28" ht="14.1" customHeight="1">
      <c r="A185" s="245"/>
      <c r="B185" s="404"/>
      <c r="C185" s="1026"/>
      <c r="D185" s="405" t="s">
        <v>1525</v>
      </c>
      <c r="E185" s="406">
        <v>8.9999999999999998E-4</v>
      </c>
      <c r="F185" s="407">
        <v>1.4E-3</v>
      </c>
      <c r="G185" s="245"/>
      <c r="H185" s="245"/>
      <c r="I185" s="245"/>
      <c r="J185" s="245"/>
      <c r="K185" s="245"/>
      <c r="L185" s="245"/>
      <c r="M185" s="245"/>
      <c r="N185" s="245"/>
      <c r="O185" s="245"/>
      <c r="P185" s="245"/>
      <c r="Q185" s="245"/>
      <c r="R185" s="245"/>
      <c r="S185" s="245"/>
      <c r="T185" s="245"/>
      <c r="U185" s="245"/>
      <c r="V185" s="245"/>
      <c r="W185" s="245"/>
      <c r="X185" s="245"/>
      <c r="Y185" s="245"/>
      <c r="Z185" s="245"/>
      <c r="AA185" s="245"/>
      <c r="AB185" s="245"/>
    </row>
    <row r="186" spans="1:28" ht="14.1" customHeight="1">
      <c r="A186" s="245"/>
      <c r="B186" s="404"/>
      <c r="C186" s="1028"/>
      <c r="D186" s="405" t="s">
        <v>1526</v>
      </c>
      <c r="E186" s="406">
        <v>1E-3</v>
      </c>
      <c r="F186" s="407">
        <v>1.5E-3</v>
      </c>
      <c r="G186" s="245"/>
      <c r="H186" s="245"/>
      <c r="I186" s="245"/>
      <c r="J186" s="245"/>
      <c r="K186" s="245"/>
      <c r="L186" s="245"/>
      <c r="M186" s="245"/>
      <c r="N186" s="245"/>
      <c r="O186" s="245"/>
      <c r="P186" s="245"/>
      <c r="Q186" s="245"/>
      <c r="R186" s="245"/>
      <c r="S186" s="245"/>
      <c r="T186" s="245"/>
      <c r="U186" s="245"/>
      <c r="V186" s="245"/>
      <c r="W186" s="245"/>
      <c r="X186" s="245"/>
      <c r="Y186" s="245"/>
      <c r="Z186" s="245"/>
      <c r="AA186" s="245"/>
      <c r="AB186" s="245"/>
    </row>
    <row r="187" spans="1:28" ht="14.1" customHeight="1">
      <c r="A187" s="245"/>
      <c r="B187" s="404"/>
      <c r="C187" s="408" t="s">
        <v>1527</v>
      </c>
      <c r="D187" s="389" t="s">
        <v>1528</v>
      </c>
      <c r="E187" s="406">
        <v>5.1000000000000004E-3</v>
      </c>
      <c r="F187" s="407">
        <v>4.7999999999999996E-3</v>
      </c>
      <c r="G187" s="245"/>
      <c r="H187" s="245"/>
      <c r="I187" s="245"/>
      <c r="J187" s="245"/>
      <c r="K187" s="245"/>
      <c r="L187" s="245"/>
      <c r="M187" s="245"/>
      <c r="N187" s="245"/>
      <c r="O187" s="245"/>
      <c r="P187" s="245"/>
      <c r="Q187" s="245"/>
      <c r="R187" s="245"/>
      <c r="S187" s="245"/>
      <c r="T187" s="245"/>
      <c r="U187" s="245"/>
      <c r="V187" s="245"/>
      <c r="W187" s="245"/>
      <c r="X187" s="245"/>
      <c r="Y187" s="245"/>
      <c r="Z187" s="245"/>
      <c r="AA187" s="245"/>
      <c r="AB187" s="245"/>
    </row>
    <row r="188" spans="1:28" ht="24.75" customHeight="1">
      <c r="A188" s="245"/>
      <c r="B188" s="404"/>
      <c r="C188" s="409" t="s">
        <v>1529</v>
      </c>
      <c r="D188" s="410" t="s">
        <v>1530</v>
      </c>
      <c r="E188" s="371">
        <v>6.7199999999999996E-2</v>
      </c>
      <c r="F188" s="411">
        <v>6.8999999999999999E-3</v>
      </c>
      <c r="G188" s="245"/>
      <c r="H188" s="245"/>
      <c r="I188" s="245"/>
      <c r="J188" s="245"/>
      <c r="K188" s="245"/>
      <c r="L188" s="245"/>
      <c r="M188" s="245"/>
      <c r="N188" s="245"/>
      <c r="O188" s="245"/>
      <c r="P188" s="245"/>
      <c r="Q188" s="245"/>
      <c r="R188" s="245"/>
      <c r="S188" s="245"/>
      <c r="T188" s="245"/>
      <c r="U188" s="245"/>
      <c r="V188" s="245"/>
      <c r="W188" s="245"/>
      <c r="X188" s="245"/>
      <c r="Y188" s="245"/>
      <c r="Z188" s="245"/>
      <c r="AA188" s="245"/>
      <c r="AB188" s="245"/>
    </row>
    <row r="189" spans="1:28" ht="14.1" customHeight="1">
      <c r="A189" s="245"/>
      <c r="B189" s="404"/>
      <c r="C189" s="408" t="s">
        <v>1531</v>
      </c>
      <c r="D189" s="405" t="s">
        <v>1532</v>
      </c>
      <c r="E189" s="412">
        <v>8.9899999999999994E-2</v>
      </c>
      <c r="F189" s="413">
        <v>8.6999999999999994E-3</v>
      </c>
      <c r="G189" s="245"/>
      <c r="H189" s="245"/>
      <c r="I189" s="245"/>
      <c r="J189" s="245"/>
      <c r="K189" s="245"/>
      <c r="L189" s="245"/>
      <c r="M189" s="245"/>
      <c r="N189" s="245"/>
      <c r="O189" s="245"/>
      <c r="P189" s="245"/>
      <c r="Q189" s="245"/>
      <c r="R189" s="245"/>
      <c r="S189" s="245"/>
      <c r="T189" s="245"/>
      <c r="U189" s="245"/>
      <c r="V189" s="245"/>
      <c r="W189" s="245"/>
      <c r="X189" s="245"/>
      <c r="Y189" s="245"/>
      <c r="Z189" s="245"/>
      <c r="AA189" s="245"/>
      <c r="AB189" s="245"/>
    </row>
    <row r="190" spans="1:28" ht="14.1" customHeight="1">
      <c r="A190" s="245"/>
      <c r="B190" s="404"/>
      <c r="C190" s="408" t="s">
        <v>1533</v>
      </c>
      <c r="D190" s="414"/>
      <c r="E190" s="315">
        <v>0.73699999999999999</v>
      </c>
      <c r="F190" s="415">
        <v>0.05</v>
      </c>
      <c r="G190" s="245"/>
      <c r="H190" s="245"/>
      <c r="I190" s="245"/>
      <c r="J190" s="245"/>
      <c r="K190" s="245"/>
      <c r="L190" s="245"/>
      <c r="M190" s="245"/>
      <c r="N190" s="245"/>
      <c r="O190" s="245"/>
      <c r="P190" s="245"/>
      <c r="Q190" s="245"/>
      <c r="R190" s="245"/>
      <c r="S190" s="245"/>
      <c r="T190" s="245"/>
      <c r="U190" s="245"/>
      <c r="V190" s="245"/>
      <c r="W190" s="245"/>
      <c r="X190" s="245"/>
      <c r="Y190" s="245"/>
      <c r="Z190" s="245"/>
      <c r="AA190" s="245"/>
      <c r="AB190" s="245"/>
    </row>
    <row r="191" spans="1:28" ht="14.1" customHeight="1">
      <c r="A191" s="245"/>
      <c r="B191" s="404"/>
      <c r="C191" s="408" t="s">
        <v>1534</v>
      </c>
      <c r="D191" s="414"/>
      <c r="E191" s="315">
        <v>1.966</v>
      </c>
      <c r="F191" s="415">
        <v>0.17499999999999999</v>
      </c>
      <c r="G191" s="245"/>
      <c r="H191" s="245"/>
      <c r="I191" s="245"/>
      <c r="J191" s="245"/>
      <c r="K191" s="245"/>
      <c r="L191" s="245"/>
      <c r="M191" s="245"/>
      <c r="N191" s="245"/>
      <c r="O191" s="245"/>
      <c r="P191" s="245"/>
      <c r="Q191" s="245"/>
      <c r="R191" s="245"/>
      <c r="S191" s="245"/>
      <c r="T191" s="245"/>
      <c r="U191" s="245"/>
      <c r="V191" s="245"/>
      <c r="W191" s="245"/>
      <c r="X191" s="245"/>
      <c r="Y191" s="245"/>
      <c r="Z191" s="245"/>
      <c r="AA191" s="245"/>
      <c r="AB191" s="245"/>
    </row>
    <row r="192" spans="1:28" ht="14.1" customHeight="1">
      <c r="A192" s="245"/>
      <c r="B192" s="404"/>
      <c r="C192" s="408" t="s">
        <v>1535</v>
      </c>
      <c r="D192" s="414"/>
      <c r="E192" s="315">
        <v>1.966</v>
      </c>
      <c r="F192" s="415">
        <v>0.17499999999999999</v>
      </c>
      <c r="G192" s="245"/>
      <c r="H192" s="245"/>
      <c r="I192" s="245"/>
      <c r="J192" s="245"/>
      <c r="K192" s="245"/>
      <c r="L192" s="245"/>
      <c r="M192" s="245"/>
      <c r="N192" s="245"/>
      <c r="O192" s="245"/>
      <c r="P192" s="245"/>
      <c r="Q192" s="245"/>
      <c r="R192" s="245"/>
      <c r="S192" s="245"/>
      <c r="T192" s="245"/>
      <c r="U192" s="245"/>
      <c r="V192" s="245"/>
      <c r="W192" s="245"/>
      <c r="X192" s="245"/>
      <c r="Y192" s="245"/>
      <c r="Z192" s="245"/>
      <c r="AA192" s="245"/>
      <c r="AB192" s="245"/>
    </row>
    <row r="193" spans="1:28" ht="14.1" customHeight="1">
      <c r="A193" s="245"/>
      <c r="B193" s="404"/>
      <c r="C193" s="408" t="s">
        <v>1536</v>
      </c>
      <c r="D193" s="414"/>
      <c r="E193" s="315">
        <v>3.6999999999999998E-2</v>
      </c>
      <c r="F193" s="415">
        <v>6.7000000000000004E-2</v>
      </c>
      <c r="G193" s="245"/>
      <c r="H193" s="245"/>
      <c r="I193" s="245"/>
      <c r="J193" s="245"/>
      <c r="K193" s="245"/>
      <c r="L193" s="245"/>
      <c r="M193" s="245"/>
      <c r="N193" s="245"/>
      <c r="O193" s="245"/>
      <c r="P193" s="245"/>
      <c r="Q193" s="245"/>
      <c r="R193" s="245"/>
      <c r="S193" s="245"/>
      <c r="T193" s="245"/>
      <c r="U193" s="245"/>
      <c r="V193" s="245"/>
      <c r="W193" s="245"/>
      <c r="X193" s="245"/>
      <c r="Y193" s="245"/>
      <c r="Z193" s="245"/>
      <c r="AA193" s="245"/>
      <c r="AB193" s="245"/>
    </row>
    <row r="194" spans="1:28" ht="14.1" customHeight="1">
      <c r="A194" s="245"/>
      <c r="B194" s="404"/>
      <c r="C194" s="408" t="s">
        <v>1537</v>
      </c>
      <c r="D194" s="414"/>
      <c r="E194" s="315">
        <v>6.6000000000000003E-2</v>
      </c>
      <c r="F194" s="415">
        <v>0.17499999999999999</v>
      </c>
      <c r="G194" s="245"/>
      <c r="H194" s="245"/>
      <c r="I194" s="245"/>
      <c r="J194" s="245"/>
      <c r="K194" s="245"/>
      <c r="L194" s="245"/>
      <c r="M194" s="245"/>
      <c r="N194" s="245"/>
      <c r="O194" s="245"/>
      <c r="P194" s="245"/>
      <c r="Q194" s="245"/>
      <c r="R194" s="245"/>
      <c r="S194" s="245"/>
      <c r="T194" s="245"/>
      <c r="U194" s="245"/>
      <c r="V194" s="245"/>
      <c r="W194" s="245"/>
      <c r="X194" s="245"/>
      <c r="Y194" s="245"/>
      <c r="Z194" s="245"/>
      <c r="AA194" s="245"/>
      <c r="AB194" s="245"/>
    </row>
    <row r="195" spans="1:28" ht="14.1" customHeight="1">
      <c r="A195" s="245"/>
      <c r="B195" s="404"/>
      <c r="C195" s="408" t="s">
        <v>1538</v>
      </c>
      <c r="D195" s="414"/>
      <c r="E195" s="315">
        <v>1.966</v>
      </c>
      <c r="F195" s="415">
        <v>0.17499999999999999</v>
      </c>
      <c r="G195" s="245"/>
      <c r="H195" s="245"/>
      <c r="I195" s="245"/>
      <c r="J195" s="245"/>
      <c r="K195" s="245"/>
      <c r="L195" s="245"/>
      <c r="M195" s="245"/>
      <c r="N195" s="245"/>
      <c r="O195" s="245"/>
      <c r="P195" s="245"/>
      <c r="Q195" s="245"/>
      <c r="R195" s="245"/>
      <c r="S195" s="245"/>
      <c r="T195" s="245"/>
      <c r="U195" s="245"/>
      <c r="V195" s="245"/>
      <c r="W195" s="245"/>
      <c r="X195" s="245"/>
      <c r="Y195" s="245"/>
      <c r="Z195" s="245"/>
      <c r="AA195" s="245"/>
      <c r="AB195" s="245"/>
    </row>
    <row r="196" spans="1:28" ht="14.1" customHeight="1">
      <c r="A196" s="245"/>
      <c r="B196" s="404"/>
      <c r="C196" s="408" t="s">
        <v>1539</v>
      </c>
      <c r="D196" s="414"/>
      <c r="E196" s="315">
        <v>5.5E-2</v>
      </c>
      <c r="F196" s="415">
        <v>6.7000000000000004E-2</v>
      </c>
      <c r="G196" s="245"/>
      <c r="H196" s="245"/>
      <c r="I196" s="245"/>
      <c r="J196" s="245"/>
      <c r="K196" s="245"/>
      <c r="L196" s="245"/>
      <c r="M196" s="245"/>
      <c r="N196" s="245"/>
      <c r="O196" s="245"/>
      <c r="P196" s="245"/>
      <c r="Q196" s="245"/>
      <c r="R196" s="245"/>
      <c r="S196" s="245"/>
      <c r="T196" s="245"/>
      <c r="U196" s="245"/>
      <c r="V196" s="245"/>
      <c r="W196" s="245"/>
      <c r="X196" s="245"/>
      <c r="Y196" s="245"/>
      <c r="Z196" s="245"/>
      <c r="AA196" s="245"/>
      <c r="AB196" s="245"/>
    </row>
    <row r="197" spans="1:28" ht="14.1" customHeight="1">
      <c r="A197" s="245"/>
      <c r="B197" s="404"/>
      <c r="C197" s="408" t="s">
        <v>1540</v>
      </c>
      <c r="D197" s="414"/>
      <c r="E197" s="315">
        <v>0.19700000000000001</v>
      </c>
      <c r="F197" s="415">
        <v>0.17499999999999999</v>
      </c>
      <c r="G197" s="245"/>
      <c r="H197" s="245"/>
      <c r="I197" s="245"/>
      <c r="J197" s="245"/>
      <c r="K197" s="245"/>
      <c r="L197" s="245"/>
      <c r="M197" s="245"/>
      <c r="N197" s="245"/>
      <c r="O197" s="245"/>
      <c r="P197" s="245"/>
      <c r="Q197" s="245"/>
      <c r="R197" s="245"/>
      <c r="S197" s="245"/>
      <c r="T197" s="245"/>
      <c r="U197" s="245"/>
      <c r="V197" s="245"/>
      <c r="W197" s="245"/>
      <c r="X197" s="245"/>
      <c r="Y197" s="245"/>
      <c r="Z197" s="245"/>
      <c r="AA197" s="245"/>
      <c r="AB197" s="245"/>
    </row>
    <row r="198" spans="1:28" ht="14.1" customHeight="1" thickBot="1">
      <c r="A198" s="245"/>
      <c r="B198" s="245"/>
      <c r="C198" s="392" t="s">
        <v>1541</v>
      </c>
      <c r="D198" s="416"/>
      <c r="E198" s="417">
        <v>0.19700000000000001</v>
      </c>
      <c r="F198" s="418">
        <v>0.17499999999999999</v>
      </c>
      <c r="G198" s="245"/>
      <c r="H198" s="245"/>
      <c r="I198" s="245"/>
      <c r="J198" s="245"/>
      <c r="K198" s="245"/>
      <c r="L198" s="245"/>
      <c r="M198" s="245"/>
      <c r="N198" s="245"/>
      <c r="O198" s="245"/>
      <c r="P198" s="245"/>
      <c r="Q198" s="245"/>
      <c r="R198" s="245"/>
      <c r="S198" s="245"/>
      <c r="T198" s="245"/>
      <c r="U198" s="245"/>
      <c r="V198" s="245"/>
      <c r="W198" s="245"/>
      <c r="X198" s="245"/>
      <c r="Y198" s="245"/>
      <c r="Z198" s="245"/>
      <c r="AA198" s="245"/>
      <c r="AB198" s="245"/>
    </row>
    <row r="199" spans="1:28" ht="43.5" customHeight="1">
      <c r="A199" s="245"/>
      <c r="B199" s="245"/>
      <c r="C199" s="1029" t="s">
        <v>1542</v>
      </c>
      <c r="D199" s="1029"/>
      <c r="E199" s="1029"/>
      <c r="F199" s="1029"/>
      <c r="G199" s="1029"/>
      <c r="H199" s="245"/>
      <c r="I199" s="245"/>
      <c r="J199" s="245"/>
      <c r="K199" s="245"/>
      <c r="L199" s="245"/>
      <c r="M199" s="245"/>
      <c r="N199" s="245"/>
      <c r="O199" s="245"/>
      <c r="P199" s="245"/>
      <c r="Q199" s="245"/>
      <c r="R199" s="245"/>
      <c r="S199" s="245"/>
      <c r="T199" s="245"/>
      <c r="U199" s="245"/>
      <c r="V199" s="245"/>
      <c r="W199" s="245"/>
      <c r="X199" s="245"/>
      <c r="Y199" s="245"/>
      <c r="Z199" s="245"/>
      <c r="AA199" s="245"/>
      <c r="AB199" s="245"/>
    </row>
    <row r="200" spans="1:28" ht="14.1" customHeight="1">
      <c r="A200" s="245"/>
      <c r="B200" s="245"/>
      <c r="C200" s="245"/>
      <c r="D200" s="245"/>
      <c r="E200" s="245"/>
      <c r="F200" s="245"/>
      <c r="G200" s="245"/>
      <c r="H200" s="245"/>
      <c r="I200" s="245"/>
      <c r="J200" s="245"/>
      <c r="K200" s="245"/>
      <c r="L200" s="245"/>
      <c r="M200" s="245"/>
      <c r="N200" s="245"/>
      <c r="O200" s="245"/>
      <c r="P200" s="245"/>
      <c r="Q200" s="245"/>
      <c r="R200" s="245"/>
      <c r="S200" s="245"/>
      <c r="T200" s="245"/>
      <c r="U200" s="245"/>
      <c r="V200" s="245"/>
      <c r="W200" s="245"/>
      <c r="X200" s="245"/>
      <c r="Y200" s="245"/>
      <c r="Z200" s="245"/>
      <c r="AA200" s="245"/>
      <c r="AB200" s="245"/>
    </row>
    <row r="201" spans="1:28" ht="14.1" customHeight="1">
      <c r="A201" s="245"/>
      <c r="B201" s="245"/>
      <c r="C201" s="245"/>
      <c r="D201" s="245"/>
      <c r="E201" s="245"/>
      <c r="F201" s="245"/>
      <c r="G201" s="245"/>
      <c r="H201" s="245"/>
      <c r="I201" s="245"/>
      <c r="J201" s="245"/>
      <c r="K201" s="245"/>
      <c r="L201" s="245"/>
      <c r="M201" s="245"/>
      <c r="N201" s="245"/>
      <c r="O201" s="245"/>
      <c r="P201" s="245"/>
      <c r="Q201" s="245"/>
      <c r="R201" s="245"/>
      <c r="S201" s="245"/>
      <c r="T201" s="245"/>
      <c r="U201" s="245"/>
      <c r="V201" s="245"/>
      <c r="W201" s="245"/>
      <c r="X201" s="245"/>
      <c r="Y201" s="245"/>
      <c r="Z201" s="245"/>
      <c r="AA201" s="245"/>
      <c r="AB201" s="245"/>
    </row>
    <row r="202" spans="1:28" ht="18" customHeight="1">
      <c r="B202" s="376" t="s">
        <v>1543</v>
      </c>
      <c r="C202" s="377" t="s">
        <v>1544</v>
      </c>
      <c r="D202" s="419"/>
      <c r="E202" s="419"/>
      <c r="F202" s="419"/>
      <c r="G202" s="378"/>
      <c r="H202" s="378"/>
      <c r="I202" s="378"/>
      <c r="J202" s="378"/>
      <c r="K202" s="378"/>
      <c r="L202" s="379"/>
      <c r="M202" s="245"/>
      <c r="N202" s="245"/>
      <c r="O202" s="245"/>
      <c r="P202" s="245"/>
      <c r="Q202" s="245"/>
      <c r="R202" s="245"/>
      <c r="S202" s="245"/>
      <c r="T202" s="245"/>
      <c r="U202" s="245"/>
      <c r="V202" s="245"/>
      <c r="W202" s="245"/>
      <c r="X202" s="245"/>
      <c r="Y202" s="245"/>
      <c r="Z202" s="245"/>
      <c r="AA202" s="245"/>
      <c r="AB202" s="245"/>
    </row>
    <row r="203" spans="1:28" ht="14.1" customHeight="1" thickBot="1">
      <c r="A203" s="245"/>
      <c r="B203" s="245"/>
      <c r="C203" s="420"/>
      <c r="D203" s="245"/>
      <c r="E203" s="245"/>
      <c r="F203" s="245"/>
      <c r="G203" s="245"/>
      <c r="H203" s="245"/>
      <c r="I203" s="245"/>
      <c r="J203" s="245"/>
      <c r="K203" s="245"/>
      <c r="L203" s="245"/>
      <c r="M203" s="245"/>
      <c r="N203" s="245"/>
      <c r="O203" s="245"/>
      <c r="P203" s="245"/>
      <c r="Q203" s="245"/>
      <c r="R203" s="245"/>
      <c r="S203" s="245"/>
      <c r="T203" s="245"/>
      <c r="U203" s="245"/>
      <c r="V203" s="245"/>
      <c r="W203" s="245"/>
      <c r="X203" s="245"/>
      <c r="Y203" s="245"/>
      <c r="Z203" s="245"/>
      <c r="AA203" s="245"/>
      <c r="AB203" s="245"/>
    </row>
    <row r="204" spans="1:28" ht="27.75" customHeight="1" thickBot="1">
      <c r="A204" s="245"/>
      <c r="B204" s="245"/>
      <c r="C204" s="421" t="s">
        <v>1501</v>
      </c>
      <c r="D204" s="382" t="s">
        <v>1545</v>
      </c>
      <c r="E204" s="383" t="s">
        <v>1546</v>
      </c>
      <c r="F204" s="245"/>
      <c r="G204" s="245"/>
      <c r="H204" s="245"/>
      <c r="I204" s="245"/>
      <c r="J204" s="245"/>
      <c r="K204" s="245"/>
      <c r="L204" s="245"/>
      <c r="M204" s="245"/>
      <c r="N204" s="245"/>
      <c r="O204" s="245"/>
      <c r="P204" s="245"/>
      <c r="Q204" s="245"/>
      <c r="R204" s="245"/>
      <c r="S204" s="245"/>
      <c r="T204" s="245"/>
      <c r="U204" s="245"/>
      <c r="V204" s="245"/>
      <c r="W204" s="245"/>
      <c r="X204" s="245"/>
      <c r="Y204" s="245"/>
      <c r="Z204" s="245"/>
      <c r="AA204" s="245"/>
      <c r="AB204" s="245"/>
    </row>
    <row r="205" spans="1:28" ht="14.1" customHeight="1">
      <c r="A205" s="245"/>
      <c r="B205" s="245"/>
      <c r="C205" s="422" t="s">
        <v>1547</v>
      </c>
      <c r="D205" s="423">
        <v>0.5</v>
      </c>
      <c r="E205" s="424">
        <v>0.22</v>
      </c>
      <c r="F205" s="245"/>
      <c r="G205" s="245"/>
      <c r="H205" s="245"/>
      <c r="I205" s="245"/>
      <c r="J205" s="245"/>
      <c r="K205" s="245"/>
      <c r="L205" s="245"/>
      <c r="M205" s="245"/>
      <c r="N205" s="245"/>
      <c r="O205" s="245"/>
      <c r="P205" s="245"/>
      <c r="Q205" s="245"/>
      <c r="R205" s="245"/>
      <c r="S205" s="245"/>
      <c r="T205" s="245"/>
      <c r="U205" s="245"/>
      <c r="V205" s="245"/>
      <c r="W205" s="245"/>
      <c r="X205" s="245"/>
      <c r="Y205" s="245"/>
      <c r="Z205" s="245"/>
      <c r="AA205" s="245"/>
      <c r="AB205" s="245"/>
    </row>
    <row r="206" spans="1:28" ht="14.1" customHeight="1">
      <c r="A206" s="245"/>
      <c r="B206" s="245"/>
      <c r="C206" s="281" t="s">
        <v>1548</v>
      </c>
      <c r="D206" s="283">
        <v>0.86</v>
      </c>
      <c r="E206" s="425">
        <v>0.3</v>
      </c>
      <c r="F206" s="245"/>
      <c r="G206" s="245"/>
      <c r="H206" s="245"/>
      <c r="I206" s="245"/>
      <c r="J206" s="245"/>
      <c r="K206" s="245"/>
      <c r="L206" s="245"/>
      <c r="M206" s="245"/>
      <c r="N206" s="245"/>
      <c r="O206" s="245"/>
      <c r="P206" s="245"/>
      <c r="Q206" s="245"/>
      <c r="R206" s="245"/>
      <c r="S206" s="245"/>
      <c r="T206" s="245"/>
      <c r="U206" s="245"/>
      <c r="V206" s="245"/>
      <c r="W206" s="245"/>
      <c r="X206" s="245"/>
      <c r="Y206" s="245"/>
      <c r="Z206" s="245"/>
      <c r="AA206" s="245"/>
      <c r="AB206" s="245"/>
    </row>
    <row r="207" spans="1:28" ht="14.1" customHeight="1">
      <c r="A207" s="245"/>
      <c r="B207" s="245"/>
      <c r="C207" s="281" t="s">
        <v>1549</v>
      </c>
      <c r="D207" s="283">
        <v>0.74</v>
      </c>
      <c r="E207" s="425">
        <v>0.26</v>
      </c>
      <c r="F207" s="245"/>
      <c r="G207" s="245"/>
      <c r="H207" s="245"/>
      <c r="I207" s="245"/>
      <c r="J207" s="245"/>
      <c r="K207" s="245"/>
      <c r="L207" s="245"/>
      <c r="M207" s="245"/>
      <c r="N207" s="245"/>
      <c r="O207" s="245"/>
      <c r="P207" s="245"/>
      <c r="Q207" s="245"/>
      <c r="R207" s="245"/>
      <c r="S207" s="245"/>
      <c r="T207" s="245"/>
      <c r="U207" s="245"/>
      <c r="V207" s="245"/>
      <c r="W207" s="245"/>
      <c r="X207" s="245"/>
      <c r="Y207" s="245"/>
      <c r="Z207" s="245"/>
      <c r="AA207" s="245"/>
      <c r="AB207" s="245"/>
    </row>
    <row r="208" spans="1:28" ht="14.1" customHeight="1">
      <c r="A208" s="245"/>
      <c r="B208" s="245"/>
      <c r="C208" s="281" t="s">
        <v>1550</v>
      </c>
      <c r="D208" s="283">
        <v>0.64</v>
      </c>
      <c r="E208" s="425">
        <v>0.22</v>
      </c>
      <c r="F208" s="245"/>
      <c r="G208" s="245"/>
      <c r="H208" s="245"/>
      <c r="I208" s="245"/>
      <c r="J208" s="245"/>
      <c r="K208" s="245"/>
      <c r="L208" s="245"/>
      <c r="M208" s="245"/>
      <c r="N208" s="245"/>
      <c r="O208" s="245"/>
      <c r="P208" s="245"/>
      <c r="Q208" s="245"/>
      <c r="R208" s="245"/>
      <c r="S208" s="245"/>
      <c r="T208" s="245"/>
      <c r="U208" s="245"/>
      <c r="V208" s="245"/>
      <c r="W208" s="245"/>
      <c r="X208" s="245"/>
      <c r="Y208" s="245"/>
      <c r="Z208" s="245"/>
      <c r="AA208" s="245"/>
      <c r="AB208" s="245"/>
    </row>
    <row r="209" spans="1:28" ht="14.1" customHeight="1">
      <c r="A209" s="245"/>
      <c r="B209" s="245"/>
      <c r="C209" s="281" t="s">
        <v>1551</v>
      </c>
      <c r="D209" s="283">
        <v>0.8</v>
      </c>
      <c r="E209" s="425">
        <v>0.26</v>
      </c>
      <c r="F209" s="245"/>
      <c r="G209" s="245"/>
      <c r="H209" s="245"/>
      <c r="I209" s="245"/>
      <c r="J209" s="245"/>
      <c r="K209" s="245"/>
      <c r="L209" s="245"/>
      <c r="M209" s="245"/>
      <c r="N209" s="245"/>
      <c r="O209" s="245"/>
      <c r="P209" s="245"/>
      <c r="Q209" s="245"/>
      <c r="R209" s="245"/>
      <c r="S209" s="245"/>
      <c r="T209" s="245"/>
      <c r="U209" s="245"/>
      <c r="V209" s="245"/>
      <c r="W209" s="245"/>
      <c r="X209" s="245"/>
      <c r="Y209" s="245"/>
      <c r="Z209" s="245"/>
      <c r="AA209" s="245"/>
      <c r="AB209" s="245"/>
    </row>
    <row r="210" spans="1:28" ht="14.1" customHeight="1">
      <c r="A210" s="245"/>
      <c r="B210" s="245"/>
      <c r="C210" s="281" t="s">
        <v>1552</v>
      </c>
      <c r="D210" s="283">
        <v>1.26</v>
      </c>
      <c r="E210" s="425">
        <v>0.22</v>
      </c>
      <c r="F210" s="245"/>
      <c r="G210" s="245"/>
      <c r="H210" s="245"/>
      <c r="I210" s="245"/>
      <c r="J210" s="245"/>
      <c r="K210" s="245"/>
      <c r="L210" s="245"/>
      <c r="M210" s="245"/>
      <c r="N210" s="245"/>
      <c r="O210" s="245"/>
      <c r="P210" s="245"/>
      <c r="Q210" s="245"/>
      <c r="R210" s="245"/>
      <c r="S210" s="245"/>
      <c r="T210" s="245"/>
      <c r="U210" s="245"/>
      <c r="V210" s="245"/>
      <c r="W210" s="245"/>
      <c r="X210" s="245"/>
      <c r="Y210" s="245"/>
      <c r="Z210" s="245"/>
      <c r="AA210" s="245"/>
      <c r="AB210" s="245"/>
    </row>
    <row r="211" spans="1:28" ht="14.1" customHeight="1">
      <c r="A211" s="245"/>
      <c r="B211" s="245"/>
      <c r="C211" s="281" t="s">
        <v>1553</v>
      </c>
      <c r="D211" s="283">
        <v>1.44</v>
      </c>
      <c r="E211" s="425">
        <v>0.26</v>
      </c>
      <c r="F211" s="245"/>
      <c r="G211" s="245"/>
      <c r="H211" s="245"/>
      <c r="I211" s="245"/>
      <c r="J211" s="245"/>
      <c r="K211" s="245"/>
      <c r="L211" s="245"/>
      <c r="M211" s="245"/>
      <c r="N211" s="245"/>
      <c r="O211" s="245"/>
      <c r="P211" s="245"/>
      <c r="Q211" s="245"/>
      <c r="R211" s="245"/>
      <c r="S211" s="245"/>
      <c r="T211" s="245"/>
      <c r="U211" s="245"/>
      <c r="V211" s="245"/>
      <c r="W211" s="245"/>
      <c r="X211" s="245"/>
      <c r="Y211" s="245"/>
      <c r="Z211" s="245"/>
      <c r="AA211" s="245"/>
      <c r="AB211" s="245"/>
    </row>
    <row r="212" spans="1:28" ht="14.1" customHeight="1">
      <c r="A212" s="245"/>
      <c r="B212" s="245"/>
      <c r="C212" s="281" t="s">
        <v>1554</v>
      </c>
      <c r="D212" s="283">
        <v>0.5</v>
      </c>
      <c r="E212" s="425">
        <v>0.22</v>
      </c>
      <c r="F212" s="245"/>
      <c r="G212" s="245"/>
      <c r="H212" s="245"/>
      <c r="I212" s="245"/>
      <c r="J212" s="245"/>
      <c r="K212" s="245"/>
      <c r="L212" s="245"/>
      <c r="M212" s="245"/>
      <c r="N212" s="245"/>
      <c r="O212" s="245"/>
      <c r="P212" s="245"/>
      <c r="Q212" s="245"/>
      <c r="R212" s="245"/>
      <c r="S212" s="245"/>
      <c r="T212" s="245"/>
      <c r="U212" s="245"/>
      <c r="V212" s="245"/>
      <c r="W212" s="245"/>
      <c r="X212" s="245"/>
      <c r="Y212" s="245"/>
      <c r="Z212" s="245"/>
      <c r="AA212" s="245"/>
      <c r="AB212" s="245"/>
    </row>
    <row r="213" spans="1:28" ht="14.1" customHeight="1">
      <c r="A213" s="245"/>
      <c r="B213" s="245"/>
      <c r="C213" s="281" t="s">
        <v>1555</v>
      </c>
      <c r="D213" s="283">
        <v>0.57999999999999996</v>
      </c>
      <c r="E213" s="425">
        <v>0.26</v>
      </c>
      <c r="F213" s="245"/>
      <c r="G213" s="245"/>
      <c r="H213" s="245"/>
      <c r="I213" s="245"/>
      <c r="J213" s="245"/>
      <c r="K213" s="245"/>
      <c r="L213" s="245"/>
      <c r="M213" s="245"/>
      <c r="N213" s="245"/>
      <c r="O213" s="245"/>
      <c r="P213" s="245"/>
      <c r="Q213" s="245"/>
      <c r="R213" s="245"/>
      <c r="S213" s="245"/>
      <c r="T213" s="245"/>
      <c r="U213" s="245"/>
      <c r="V213" s="245"/>
      <c r="W213" s="245"/>
      <c r="X213" s="245"/>
      <c r="Y213" s="245"/>
      <c r="Z213" s="245"/>
      <c r="AA213" s="245"/>
      <c r="AB213" s="245"/>
    </row>
    <row r="214" spans="1:28" ht="14.1" customHeight="1">
      <c r="A214" s="245"/>
      <c r="B214" s="245"/>
      <c r="C214" s="281" t="s">
        <v>1556</v>
      </c>
      <c r="D214" s="283">
        <v>0.27</v>
      </c>
      <c r="E214" s="425">
        <v>0.31</v>
      </c>
      <c r="F214" s="245"/>
      <c r="G214" s="245"/>
      <c r="H214" s="245"/>
      <c r="I214" s="245"/>
      <c r="J214" s="245"/>
      <c r="K214" s="245"/>
      <c r="L214" s="245"/>
      <c r="M214" s="245"/>
      <c r="N214" s="245"/>
      <c r="O214" s="245"/>
      <c r="P214" s="245"/>
      <c r="Q214" s="245"/>
      <c r="R214" s="245"/>
      <c r="S214" s="245"/>
      <c r="T214" s="245"/>
      <c r="U214" s="245"/>
      <c r="V214" s="245"/>
      <c r="W214" s="245"/>
      <c r="X214" s="245"/>
      <c r="Y214" s="245"/>
      <c r="Z214" s="245"/>
      <c r="AA214" s="245"/>
      <c r="AB214" s="245"/>
    </row>
    <row r="215" spans="1:28" ht="14.1" customHeight="1">
      <c r="A215" s="245"/>
      <c r="B215" s="245"/>
      <c r="C215" s="281" t="s">
        <v>1557</v>
      </c>
      <c r="D215" s="283">
        <v>7.04</v>
      </c>
      <c r="E215" s="425">
        <v>0.11</v>
      </c>
      <c r="F215" s="245"/>
      <c r="G215" s="245"/>
      <c r="H215" s="245"/>
      <c r="I215" s="245"/>
      <c r="J215" s="245"/>
      <c r="K215" s="245"/>
      <c r="L215" s="245"/>
      <c r="M215" s="245"/>
      <c r="N215" s="245"/>
      <c r="O215" s="245"/>
      <c r="P215" s="245"/>
      <c r="Q215" s="245"/>
      <c r="R215" s="245"/>
      <c r="S215" s="245"/>
      <c r="T215" s="245"/>
      <c r="U215" s="245"/>
      <c r="V215" s="245"/>
      <c r="W215" s="245"/>
      <c r="X215" s="245"/>
      <c r="Y215" s="245"/>
      <c r="Z215" s="245"/>
      <c r="AA215" s="245"/>
      <c r="AB215" s="245"/>
    </row>
    <row r="216" spans="1:28" ht="14.1" customHeight="1">
      <c r="A216" s="245"/>
      <c r="B216" s="245"/>
      <c r="C216" s="281" t="s">
        <v>1558</v>
      </c>
      <c r="D216" s="283">
        <v>0.57999999999999996</v>
      </c>
      <c r="E216" s="425">
        <v>0.26</v>
      </c>
      <c r="F216" s="245"/>
      <c r="G216" s="245"/>
      <c r="H216" s="245"/>
      <c r="I216" s="245"/>
      <c r="J216" s="245"/>
      <c r="K216" s="245"/>
      <c r="L216" s="245"/>
      <c r="M216" s="245"/>
      <c r="N216" s="245"/>
      <c r="O216" s="245"/>
      <c r="P216" s="245"/>
      <c r="Q216" s="245"/>
      <c r="R216" s="245"/>
      <c r="S216" s="245"/>
      <c r="T216" s="245"/>
      <c r="U216" s="245"/>
      <c r="V216" s="245"/>
      <c r="W216" s="245"/>
      <c r="X216" s="245"/>
      <c r="Y216" s="245"/>
      <c r="Z216" s="245"/>
      <c r="AA216" s="245"/>
      <c r="AB216" s="245"/>
    </row>
    <row r="217" spans="1:28" ht="14.1" customHeight="1">
      <c r="A217" s="245"/>
      <c r="B217" s="245"/>
      <c r="C217" s="281" t="s">
        <v>1559</v>
      </c>
      <c r="D217" s="283">
        <v>0.57999999999999996</v>
      </c>
      <c r="E217" s="425">
        <v>0.26</v>
      </c>
      <c r="F217" s="245"/>
      <c r="G217" s="245"/>
      <c r="H217" s="245"/>
      <c r="I217" s="245"/>
      <c r="J217" s="245"/>
      <c r="K217" s="245"/>
      <c r="L217" s="245"/>
      <c r="M217" s="245"/>
      <c r="N217" s="245"/>
      <c r="O217" s="245"/>
      <c r="P217" s="245"/>
      <c r="Q217" s="245"/>
      <c r="R217" s="245"/>
      <c r="S217" s="245"/>
      <c r="T217" s="245"/>
      <c r="U217" s="245"/>
      <c r="V217" s="245"/>
      <c r="W217" s="245"/>
      <c r="X217" s="245"/>
      <c r="Y217" s="245"/>
      <c r="Z217" s="245"/>
      <c r="AA217" s="245"/>
      <c r="AB217" s="245"/>
    </row>
    <row r="218" spans="1:28" ht="14.1" customHeight="1" thickBot="1">
      <c r="A218" s="245"/>
      <c r="B218" s="245"/>
      <c r="C218" s="426" t="s">
        <v>1560</v>
      </c>
      <c r="D218" s="427">
        <v>0.5</v>
      </c>
      <c r="E218" s="428">
        <v>0.22</v>
      </c>
      <c r="F218" s="245"/>
      <c r="G218" s="245"/>
      <c r="H218" s="245"/>
      <c r="I218" s="245"/>
      <c r="J218" s="245"/>
      <c r="K218" s="245"/>
      <c r="L218" s="245"/>
      <c r="M218" s="245"/>
      <c r="N218" s="245"/>
      <c r="O218" s="245"/>
      <c r="P218" s="245"/>
      <c r="Q218" s="245"/>
      <c r="R218" s="245"/>
      <c r="S218" s="245"/>
      <c r="T218" s="245"/>
      <c r="U218" s="245"/>
      <c r="V218" s="245"/>
      <c r="W218" s="245"/>
      <c r="X218" s="245"/>
      <c r="Y218" s="245"/>
      <c r="Z218" s="245"/>
      <c r="AA218" s="245"/>
      <c r="AB218" s="245"/>
    </row>
    <row r="219" spans="1:28" ht="29.25" customHeight="1">
      <c r="A219" s="245"/>
      <c r="B219" s="245"/>
      <c r="C219" s="1022" t="s">
        <v>1561</v>
      </c>
      <c r="D219" s="1022"/>
      <c r="E219" s="1022"/>
      <c r="F219" s="1022"/>
      <c r="G219" s="1022"/>
      <c r="H219" s="1022"/>
      <c r="I219" s="245"/>
      <c r="J219" s="245"/>
      <c r="K219" s="245"/>
      <c r="L219" s="245"/>
      <c r="M219" s="245"/>
      <c r="N219" s="245"/>
      <c r="O219" s="245"/>
      <c r="P219" s="245"/>
      <c r="Q219" s="245"/>
      <c r="R219" s="245"/>
      <c r="S219" s="245"/>
      <c r="T219" s="245"/>
      <c r="U219" s="245"/>
      <c r="V219" s="245"/>
      <c r="W219" s="245"/>
      <c r="X219" s="245"/>
      <c r="Y219" s="245"/>
      <c r="Z219" s="245"/>
      <c r="AA219" s="245"/>
      <c r="AB219" s="245"/>
    </row>
    <row r="220" spans="1:28" ht="52.5" customHeight="1">
      <c r="A220" s="245"/>
      <c r="B220" s="246"/>
      <c r="C220" s="1022" t="s">
        <v>1562</v>
      </c>
      <c r="D220" s="1022"/>
      <c r="E220" s="1022"/>
      <c r="F220" s="1022"/>
      <c r="G220" s="1022"/>
      <c r="H220" s="1022"/>
      <c r="I220" s="245"/>
      <c r="J220" s="245"/>
      <c r="K220" s="245"/>
      <c r="L220" s="245"/>
      <c r="M220" s="245"/>
      <c r="N220" s="245"/>
      <c r="O220" s="245"/>
      <c r="P220" s="245"/>
      <c r="Q220" s="245"/>
      <c r="R220" s="245"/>
      <c r="S220" s="245"/>
      <c r="T220" s="245"/>
      <c r="U220" s="245"/>
      <c r="V220" s="245"/>
      <c r="W220" s="245"/>
      <c r="X220" s="245"/>
      <c r="Y220" s="245"/>
      <c r="Z220" s="245"/>
      <c r="AA220" s="245"/>
      <c r="AB220" s="245"/>
    </row>
    <row r="221" spans="1:28" ht="14.1" customHeight="1">
      <c r="A221" s="245"/>
      <c r="B221" s="246"/>
      <c r="C221" s="245"/>
      <c r="D221" s="245"/>
      <c r="E221" s="245"/>
      <c r="F221" s="245"/>
      <c r="G221" s="245"/>
      <c r="H221" s="245"/>
      <c r="I221" s="245"/>
      <c r="J221" s="245"/>
      <c r="K221" s="245"/>
      <c r="L221" s="245"/>
      <c r="M221" s="245"/>
      <c r="N221" s="245"/>
      <c r="O221" s="245"/>
      <c r="P221" s="245"/>
      <c r="Q221" s="245"/>
      <c r="R221" s="245"/>
      <c r="S221" s="245"/>
      <c r="T221" s="245"/>
      <c r="U221" s="245"/>
      <c r="V221" s="245"/>
      <c r="W221" s="245"/>
      <c r="X221" s="245"/>
      <c r="Y221" s="245"/>
      <c r="Z221" s="245"/>
      <c r="AA221" s="245"/>
      <c r="AB221" s="245"/>
    </row>
    <row r="222" spans="1:28" ht="18" customHeight="1">
      <c r="A222" s="245"/>
      <c r="B222" s="376" t="s">
        <v>1563</v>
      </c>
      <c r="C222" s="377" t="s">
        <v>1564</v>
      </c>
      <c r="D222" s="378"/>
      <c r="E222" s="378"/>
      <c r="F222" s="378"/>
      <c r="G222" s="378"/>
      <c r="H222" s="378"/>
      <c r="I222" s="378"/>
      <c r="J222" s="378"/>
      <c r="K222" s="378"/>
      <c r="L222" s="379"/>
      <c r="M222" s="245"/>
      <c r="N222" s="245"/>
      <c r="O222" s="245"/>
      <c r="P222" s="245"/>
      <c r="Q222" s="245"/>
      <c r="R222" s="245"/>
      <c r="S222" s="245"/>
      <c r="T222" s="245"/>
      <c r="U222" s="245"/>
      <c r="V222" s="245"/>
      <c r="W222" s="245"/>
      <c r="X222" s="245"/>
      <c r="Y222" s="245"/>
      <c r="Z222" s="245"/>
      <c r="AA222" s="245"/>
      <c r="AB222" s="245"/>
    </row>
    <row r="223" spans="1:28" ht="14.1" customHeight="1" thickBot="1">
      <c r="A223" s="245"/>
      <c r="B223" s="245"/>
      <c r="C223" s="245"/>
      <c r="D223" s="245"/>
      <c r="E223" s="245"/>
      <c r="F223" s="245"/>
      <c r="G223" s="245"/>
      <c r="H223" s="245"/>
      <c r="I223" s="245"/>
      <c r="J223" s="245"/>
      <c r="K223" s="245"/>
      <c r="L223" s="245"/>
      <c r="M223" s="245"/>
      <c r="N223" s="245"/>
      <c r="O223" s="245"/>
      <c r="P223" s="245"/>
      <c r="Q223" s="245"/>
      <c r="R223" s="245"/>
      <c r="S223" s="245"/>
      <c r="T223" s="245"/>
      <c r="U223" s="245"/>
      <c r="V223" s="245"/>
      <c r="W223" s="245"/>
      <c r="X223" s="245"/>
      <c r="Y223" s="245"/>
      <c r="Z223" s="245"/>
      <c r="AA223" s="245"/>
      <c r="AB223" s="245"/>
    </row>
    <row r="224" spans="1:28" ht="18" customHeight="1" thickBot="1">
      <c r="A224" s="245"/>
      <c r="B224" s="245"/>
      <c r="C224" s="429" t="s">
        <v>1384</v>
      </c>
      <c r="D224" s="430" t="s">
        <v>1385</v>
      </c>
      <c r="E224" s="245"/>
      <c r="F224" s="245"/>
      <c r="G224" s="245"/>
      <c r="H224" s="245"/>
      <c r="I224" s="245"/>
      <c r="J224" s="245"/>
      <c r="K224" s="245"/>
      <c r="L224" s="245"/>
      <c r="M224" s="245"/>
      <c r="N224" s="245"/>
      <c r="O224" s="245"/>
      <c r="P224" s="245"/>
      <c r="Q224" s="245"/>
      <c r="R224" s="245"/>
      <c r="S224" s="245"/>
      <c r="T224" s="245"/>
      <c r="U224" s="245"/>
      <c r="V224" s="245"/>
      <c r="W224" s="245"/>
      <c r="X224" s="245"/>
      <c r="Y224" s="245"/>
      <c r="Z224" s="245"/>
      <c r="AA224" s="245"/>
      <c r="AB224" s="245"/>
    </row>
    <row r="225" spans="1:28" ht="14.1" customHeight="1">
      <c r="A225" s="245"/>
      <c r="B225" s="245"/>
      <c r="C225" s="431" t="s">
        <v>1565</v>
      </c>
      <c r="D225" s="432">
        <v>1</v>
      </c>
      <c r="E225" s="245"/>
      <c r="F225" s="245"/>
      <c r="G225" s="245"/>
      <c r="H225" s="245"/>
      <c r="I225" s="245"/>
      <c r="J225" s="245"/>
      <c r="K225" s="245"/>
      <c r="L225" s="245"/>
      <c r="M225" s="245"/>
      <c r="N225" s="245"/>
      <c r="O225" s="245"/>
      <c r="P225" s="245"/>
      <c r="Q225" s="245"/>
      <c r="R225" s="245"/>
      <c r="S225" s="245"/>
      <c r="T225" s="245"/>
      <c r="U225" s="245"/>
      <c r="V225" s="245"/>
      <c r="W225" s="245"/>
      <c r="X225" s="245"/>
      <c r="Y225" s="245"/>
      <c r="Z225" s="245"/>
      <c r="AA225" s="245"/>
      <c r="AB225" s="245"/>
    </row>
    <row r="226" spans="1:28" ht="14.1" customHeight="1">
      <c r="A226" s="245"/>
      <c r="B226" s="245"/>
      <c r="C226" s="433" t="s">
        <v>1386</v>
      </c>
      <c r="D226" s="434">
        <v>21</v>
      </c>
      <c r="E226" s="245"/>
      <c r="F226" s="245"/>
      <c r="G226" s="245"/>
      <c r="H226" s="245"/>
      <c r="I226" s="245"/>
      <c r="J226" s="245"/>
      <c r="K226" s="245"/>
      <c r="L226" s="245"/>
      <c r="M226" s="245"/>
      <c r="N226" s="245"/>
      <c r="O226" s="245"/>
      <c r="P226" s="245"/>
      <c r="Q226" s="245"/>
      <c r="R226" s="245"/>
      <c r="S226" s="245"/>
      <c r="T226" s="245"/>
      <c r="U226" s="245"/>
      <c r="V226" s="245"/>
      <c r="W226" s="245"/>
      <c r="X226" s="245"/>
      <c r="Y226" s="245"/>
      <c r="Z226" s="245"/>
      <c r="AA226" s="245"/>
      <c r="AB226" s="245"/>
    </row>
    <row r="227" spans="1:28" ht="14.1" customHeight="1">
      <c r="A227" s="245"/>
      <c r="B227" s="245"/>
      <c r="C227" s="433" t="s">
        <v>1387</v>
      </c>
      <c r="D227" s="434">
        <v>310</v>
      </c>
      <c r="E227" s="245"/>
      <c r="F227" s="245"/>
      <c r="G227" s="245"/>
      <c r="H227" s="245"/>
      <c r="I227" s="245"/>
      <c r="J227" s="245"/>
      <c r="K227" s="245"/>
      <c r="L227" s="245"/>
      <c r="M227" s="245"/>
      <c r="N227" s="245"/>
      <c r="O227" s="245"/>
      <c r="P227" s="245"/>
      <c r="Q227" s="245"/>
      <c r="R227" s="245"/>
      <c r="S227" s="245"/>
      <c r="T227" s="245"/>
      <c r="U227" s="245"/>
      <c r="V227" s="245"/>
      <c r="W227" s="245"/>
      <c r="X227" s="245"/>
      <c r="Y227" s="245"/>
      <c r="Z227" s="245"/>
      <c r="AA227" s="245"/>
      <c r="AB227" s="245"/>
    </row>
    <row r="228" spans="1:28" ht="14.1" customHeight="1">
      <c r="A228" s="245"/>
      <c r="B228" s="245"/>
      <c r="C228" s="433" t="s">
        <v>1566</v>
      </c>
      <c r="D228" s="434">
        <v>23900</v>
      </c>
      <c r="E228" s="245"/>
      <c r="F228" s="245"/>
      <c r="G228" s="245"/>
      <c r="H228" s="245"/>
      <c r="I228" s="245"/>
      <c r="J228" s="245"/>
      <c r="K228" s="245"/>
      <c r="L228" s="245"/>
      <c r="M228" s="245"/>
      <c r="N228" s="245"/>
      <c r="O228" s="245"/>
      <c r="P228" s="245"/>
      <c r="Q228" s="245"/>
      <c r="R228" s="245"/>
      <c r="S228" s="245"/>
      <c r="T228" s="245"/>
      <c r="U228" s="245"/>
      <c r="V228" s="245"/>
      <c r="W228" s="245"/>
      <c r="X228" s="245"/>
      <c r="Y228" s="245"/>
      <c r="Z228" s="245"/>
      <c r="AA228" s="245"/>
      <c r="AB228" s="245"/>
    </row>
    <row r="229" spans="1:28" ht="14.1" customHeight="1">
      <c r="A229" s="245"/>
      <c r="B229" s="245"/>
      <c r="C229" s="433" t="s">
        <v>1110</v>
      </c>
      <c r="D229" s="434">
        <v>11700</v>
      </c>
      <c r="E229" s="245"/>
      <c r="F229" s="245"/>
      <c r="G229" s="245"/>
      <c r="H229" s="245"/>
      <c r="I229" s="245"/>
      <c r="J229" s="245"/>
      <c r="K229" s="245"/>
      <c r="L229" s="245"/>
      <c r="M229" s="245"/>
      <c r="N229" s="245"/>
      <c r="O229" s="245"/>
      <c r="P229" s="245"/>
      <c r="Q229" s="245"/>
      <c r="R229" s="245"/>
      <c r="S229" s="245"/>
      <c r="T229" s="245"/>
      <c r="U229" s="245"/>
      <c r="V229" s="245"/>
      <c r="W229" s="245"/>
      <c r="X229" s="245"/>
      <c r="Y229" s="245"/>
      <c r="Z229" s="245"/>
      <c r="AA229" s="245"/>
      <c r="AB229" s="245"/>
    </row>
    <row r="230" spans="1:28" ht="14.1" customHeight="1">
      <c r="A230" s="245"/>
      <c r="B230" s="245"/>
      <c r="C230" s="433" t="s">
        <v>1112</v>
      </c>
      <c r="D230" s="434">
        <v>650</v>
      </c>
      <c r="E230" s="245"/>
      <c r="F230" s="245"/>
      <c r="G230" s="245"/>
      <c r="H230" s="245"/>
      <c r="I230" s="245"/>
      <c r="J230" s="245"/>
      <c r="K230" s="245"/>
      <c r="L230" s="245"/>
      <c r="M230" s="245"/>
      <c r="N230" s="245"/>
      <c r="O230" s="245"/>
      <c r="P230" s="245"/>
      <c r="Q230" s="245"/>
      <c r="R230" s="245"/>
      <c r="S230" s="245"/>
      <c r="T230" s="245"/>
      <c r="U230" s="245"/>
      <c r="V230" s="245"/>
      <c r="W230" s="245"/>
      <c r="X230" s="245"/>
      <c r="Y230" s="245"/>
      <c r="Z230" s="245"/>
      <c r="AA230" s="245"/>
      <c r="AB230" s="245"/>
    </row>
    <row r="231" spans="1:28" ht="14.1" customHeight="1">
      <c r="A231" s="245"/>
      <c r="B231" s="245"/>
      <c r="C231" s="433" t="s">
        <v>1121</v>
      </c>
      <c r="D231" s="434">
        <v>2800</v>
      </c>
      <c r="E231" s="245"/>
      <c r="F231" s="245"/>
      <c r="G231" s="245"/>
      <c r="H231" s="245"/>
      <c r="I231" s="245"/>
      <c r="J231" s="245"/>
      <c r="K231" s="245"/>
      <c r="L231" s="245"/>
      <c r="M231" s="245"/>
      <c r="N231" s="245"/>
      <c r="O231" s="245"/>
      <c r="P231" s="245"/>
      <c r="Q231" s="245"/>
      <c r="R231" s="245"/>
      <c r="S231" s="245"/>
      <c r="T231" s="245"/>
      <c r="U231" s="245"/>
      <c r="V231" s="245"/>
      <c r="W231" s="245"/>
      <c r="X231" s="245"/>
      <c r="Y231" s="245"/>
      <c r="Z231" s="245"/>
      <c r="AA231" s="245"/>
      <c r="AB231" s="245"/>
    </row>
    <row r="232" spans="1:28" ht="14.1" customHeight="1">
      <c r="A232" s="245"/>
      <c r="B232" s="245"/>
      <c r="C232" s="433" t="s">
        <v>1127</v>
      </c>
      <c r="D232" s="434">
        <v>1300</v>
      </c>
      <c r="E232" s="245"/>
      <c r="F232" s="245"/>
      <c r="G232" s="1030"/>
      <c r="H232" s="1030"/>
      <c r="I232" s="1030"/>
      <c r="J232" s="1030"/>
      <c r="K232" s="1030"/>
      <c r="L232" s="1030"/>
      <c r="M232" s="1030"/>
      <c r="N232" s="1030"/>
      <c r="O232" s="245"/>
      <c r="P232" s="245"/>
      <c r="Q232" s="245"/>
      <c r="R232" s="245"/>
      <c r="S232" s="245"/>
      <c r="T232" s="245"/>
      <c r="U232" s="245"/>
      <c r="V232" s="245"/>
      <c r="W232" s="245"/>
      <c r="X232" s="245"/>
      <c r="Y232" s="245"/>
      <c r="Z232" s="245"/>
      <c r="AA232" s="245"/>
      <c r="AB232" s="245"/>
    </row>
    <row r="233" spans="1:28" ht="14.1" customHeight="1">
      <c r="A233" s="245"/>
      <c r="B233" s="245"/>
      <c r="C233" s="433" t="s">
        <v>1136</v>
      </c>
      <c r="D233" s="434">
        <v>3800</v>
      </c>
      <c r="E233" s="245"/>
      <c r="F233" s="245"/>
      <c r="G233" s="1030"/>
      <c r="H233" s="1030"/>
      <c r="I233" s="1030"/>
      <c r="J233" s="1030"/>
      <c r="K233" s="1030"/>
      <c r="L233" s="1030"/>
      <c r="M233" s="1030"/>
      <c r="N233" s="1030"/>
      <c r="O233" s="245"/>
      <c r="P233" s="245"/>
      <c r="Q233" s="245"/>
      <c r="R233" s="245"/>
      <c r="S233" s="245"/>
      <c r="T233" s="245"/>
      <c r="U233" s="245"/>
      <c r="V233" s="245"/>
      <c r="W233" s="245"/>
      <c r="X233" s="245"/>
      <c r="Y233" s="245"/>
      <c r="Z233" s="245"/>
      <c r="AA233" s="245"/>
      <c r="AB233" s="245"/>
    </row>
    <row r="234" spans="1:28" ht="14.1" customHeight="1">
      <c r="A234" s="245"/>
      <c r="B234" s="245"/>
      <c r="C234" s="433" t="s">
        <v>1130</v>
      </c>
      <c r="D234" s="434">
        <v>140</v>
      </c>
      <c r="E234" s="245"/>
      <c r="F234" s="245"/>
      <c r="G234" s="245"/>
      <c r="H234" s="245"/>
      <c r="I234" s="245"/>
      <c r="J234" s="245"/>
      <c r="K234" s="245"/>
      <c r="L234" s="245"/>
      <c r="M234" s="245"/>
      <c r="N234" s="245"/>
      <c r="O234" s="245"/>
      <c r="P234" s="245"/>
      <c r="Q234" s="245"/>
      <c r="R234" s="245"/>
      <c r="S234" s="245"/>
      <c r="T234" s="245"/>
      <c r="U234" s="245"/>
      <c r="V234" s="245"/>
      <c r="W234" s="245"/>
      <c r="X234" s="245"/>
      <c r="Y234" s="245"/>
      <c r="Z234" s="245"/>
      <c r="AA234" s="245"/>
      <c r="AB234" s="245"/>
    </row>
    <row r="235" spans="1:28" ht="14.1" customHeight="1">
      <c r="A235" s="245"/>
      <c r="B235" s="245"/>
      <c r="C235" s="433" t="s">
        <v>1138</v>
      </c>
      <c r="D235" s="434">
        <v>2900</v>
      </c>
      <c r="E235" s="245"/>
      <c r="F235" s="245"/>
      <c r="G235" s="245"/>
      <c r="H235" s="245"/>
      <c r="I235" s="245"/>
      <c r="J235" s="245"/>
      <c r="K235" s="245"/>
      <c r="L235" s="245"/>
      <c r="M235" s="245"/>
      <c r="N235" s="245"/>
      <c r="O235" s="245"/>
      <c r="P235" s="245"/>
      <c r="Q235" s="245"/>
      <c r="R235" s="245"/>
      <c r="S235" s="245"/>
      <c r="T235" s="245"/>
      <c r="U235" s="245"/>
      <c r="V235" s="245"/>
      <c r="W235" s="245"/>
      <c r="X235" s="245"/>
      <c r="Y235" s="245"/>
      <c r="Z235" s="245"/>
      <c r="AA235" s="245"/>
      <c r="AB235" s="245"/>
    </row>
    <row r="236" spans="1:28" ht="14.1" customHeight="1">
      <c r="A236" s="245"/>
      <c r="B236" s="245"/>
      <c r="C236" s="281" t="s">
        <v>1141</v>
      </c>
      <c r="D236" s="434">
        <v>6300</v>
      </c>
      <c r="E236" s="245"/>
      <c r="F236" s="268"/>
      <c r="G236" s="245"/>
      <c r="H236" s="245"/>
      <c r="I236" s="245"/>
      <c r="J236" s="245"/>
      <c r="K236" s="245"/>
      <c r="L236" s="245"/>
      <c r="M236" s="245"/>
      <c r="N236" s="245"/>
      <c r="O236" s="245"/>
      <c r="P236" s="245"/>
      <c r="Q236" s="245"/>
      <c r="R236" s="245"/>
      <c r="S236" s="245"/>
      <c r="T236" s="245"/>
      <c r="U236" s="245"/>
      <c r="V236" s="245"/>
      <c r="W236" s="245"/>
      <c r="X236" s="245"/>
      <c r="Y236" s="245"/>
      <c r="Z236" s="245"/>
      <c r="AA236" s="245"/>
      <c r="AB236" s="245"/>
    </row>
    <row r="237" spans="1:28" ht="14.1" customHeight="1">
      <c r="A237" s="245"/>
      <c r="B237" s="245"/>
      <c r="C237" s="281" t="s">
        <v>1567</v>
      </c>
      <c r="D237" s="434">
        <v>6500</v>
      </c>
      <c r="E237" s="245"/>
      <c r="F237" s="245"/>
      <c r="G237" s="245"/>
      <c r="H237" s="245"/>
      <c r="I237" s="245"/>
      <c r="J237" s="245"/>
      <c r="K237" s="245"/>
      <c r="L237" s="245"/>
      <c r="M237" s="245"/>
      <c r="N237" s="245"/>
      <c r="O237" s="245"/>
      <c r="P237" s="245"/>
      <c r="Q237" s="245"/>
      <c r="R237" s="245"/>
      <c r="S237" s="245"/>
      <c r="T237" s="245"/>
      <c r="U237" s="245"/>
      <c r="V237" s="245"/>
      <c r="W237" s="245"/>
      <c r="X237" s="245"/>
      <c r="Y237" s="245"/>
      <c r="Z237" s="245"/>
      <c r="AA237" s="245"/>
      <c r="AB237" s="245"/>
    </row>
    <row r="238" spans="1:28" ht="14.1" customHeight="1">
      <c r="A238" s="245"/>
      <c r="B238" s="245"/>
      <c r="C238" s="281" t="s">
        <v>1568</v>
      </c>
      <c r="D238" s="434">
        <v>9200</v>
      </c>
      <c r="E238" s="245"/>
      <c r="F238" s="245"/>
      <c r="G238" s="245"/>
      <c r="H238" s="245"/>
      <c r="I238" s="245"/>
      <c r="J238" s="245"/>
      <c r="K238" s="245"/>
      <c r="L238" s="245"/>
      <c r="M238" s="245"/>
      <c r="N238" s="245"/>
      <c r="O238" s="245"/>
      <c r="P238" s="245"/>
      <c r="Q238" s="245"/>
      <c r="R238" s="245"/>
      <c r="S238" s="245"/>
      <c r="T238" s="245"/>
      <c r="U238" s="245"/>
      <c r="V238" s="245"/>
      <c r="W238" s="245"/>
      <c r="X238" s="245"/>
      <c r="Y238" s="245"/>
      <c r="Z238" s="245"/>
      <c r="AA238" s="245"/>
      <c r="AB238" s="245"/>
    </row>
    <row r="239" spans="1:28" ht="14.1" customHeight="1">
      <c r="A239" s="245"/>
      <c r="B239" s="245"/>
      <c r="C239" s="281" t="s">
        <v>1569</v>
      </c>
      <c r="D239" s="434">
        <v>7000</v>
      </c>
      <c r="E239" s="245"/>
      <c r="F239" s="245"/>
      <c r="G239" s="245"/>
      <c r="H239" s="245"/>
      <c r="I239" s="245"/>
      <c r="J239" s="245"/>
      <c r="K239" s="245"/>
      <c r="L239" s="245"/>
      <c r="M239" s="245"/>
      <c r="N239" s="245"/>
      <c r="O239" s="245"/>
      <c r="P239" s="245"/>
      <c r="Q239" s="245"/>
      <c r="R239" s="245"/>
      <c r="S239" s="245"/>
      <c r="T239" s="245"/>
      <c r="U239" s="245"/>
      <c r="V239" s="245"/>
      <c r="W239" s="245"/>
      <c r="X239" s="245"/>
      <c r="Y239" s="245"/>
      <c r="Z239" s="245"/>
      <c r="AA239" s="245"/>
      <c r="AB239" s="245"/>
    </row>
    <row r="240" spans="1:28" ht="14.1" customHeight="1">
      <c r="A240" s="245"/>
      <c r="B240" s="245"/>
      <c r="C240" s="281" t="s">
        <v>1570</v>
      </c>
      <c r="D240" s="434">
        <v>8700</v>
      </c>
      <c r="E240" s="245"/>
      <c r="F240" s="245"/>
      <c r="G240" s="245"/>
      <c r="H240" s="245"/>
      <c r="I240" s="245"/>
      <c r="J240" s="245"/>
      <c r="K240" s="245"/>
      <c r="L240" s="245"/>
      <c r="M240" s="245"/>
      <c r="N240" s="245"/>
      <c r="O240" s="245"/>
      <c r="P240" s="245"/>
      <c r="Q240" s="245"/>
      <c r="R240" s="245"/>
      <c r="S240" s="245"/>
      <c r="T240" s="245"/>
      <c r="U240" s="245"/>
      <c r="V240" s="245"/>
      <c r="W240" s="245"/>
      <c r="X240" s="245"/>
      <c r="Y240" s="245"/>
      <c r="Z240" s="245"/>
      <c r="AA240" s="245"/>
      <c r="AB240" s="245"/>
    </row>
    <row r="241" spans="1:28" ht="14.1" customHeight="1">
      <c r="A241" s="245"/>
      <c r="B241" s="245"/>
      <c r="C241" s="281" t="s">
        <v>1571</v>
      </c>
      <c r="D241" s="434">
        <v>7000</v>
      </c>
      <c r="E241" s="245"/>
      <c r="F241" s="245"/>
      <c r="G241" s="245"/>
      <c r="H241" s="245"/>
      <c r="I241" s="245"/>
      <c r="J241" s="245"/>
      <c r="K241" s="245"/>
      <c r="L241" s="245"/>
      <c r="M241" s="245"/>
      <c r="N241" s="245"/>
      <c r="O241" s="245"/>
      <c r="P241" s="245"/>
      <c r="Q241" s="245"/>
      <c r="R241" s="245"/>
      <c r="S241" s="245"/>
      <c r="T241" s="245"/>
      <c r="U241" s="245"/>
      <c r="V241" s="245"/>
      <c r="W241" s="245"/>
      <c r="X241" s="245"/>
      <c r="Y241" s="245"/>
      <c r="Z241" s="245"/>
      <c r="AA241" s="245"/>
      <c r="AB241" s="245"/>
    </row>
    <row r="242" spans="1:28" ht="14.1" customHeight="1">
      <c r="A242" s="245"/>
      <c r="B242" s="245"/>
      <c r="C242" s="281" t="s">
        <v>1572</v>
      </c>
      <c r="D242" s="434">
        <v>7500</v>
      </c>
      <c r="E242" s="245"/>
      <c r="F242" s="245"/>
      <c r="G242" s="245"/>
      <c r="H242" s="245"/>
      <c r="I242" s="245"/>
      <c r="J242" s="245"/>
      <c r="K242" s="245"/>
      <c r="L242" s="245"/>
      <c r="M242" s="245"/>
      <c r="N242" s="245"/>
      <c r="O242" s="255"/>
      <c r="P242" s="245"/>
      <c r="Q242" s="245"/>
      <c r="R242" s="245"/>
      <c r="S242" s="245"/>
      <c r="T242" s="245"/>
      <c r="U242" s="245"/>
      <c r="V242" s="245"/>
      <c r="W242" s="245"/>
      <c r="X242" s="245"/>
      <c r="Y242" s="245"/>
      <c r="Z242" s="245"/>
      <c r="AA242" s="245"/>
      <c r="AB242" s="245"/>
    </row>
    <row r="243" spans="1:28" ht="14.1" customHeight="1" thickBot="1">
      <c r="A243" s="245"/>
      <c r="B243" s="245"/>
      <c r="C243" s="426" t="s">
        <v>1573</v>
      </c>
      <c r="D243" s="435">
        <v>7400</v>
      </c>
      <c r="E243" s="245"/>
      <c r="F243" s="245"/>
      <c r="G243" s="245"/>
      <c r="H243" s="245"/>
      <c r="I243" s="245"/>
      <c r="J243" s="245"/>
      <c r="K243" s="245"/>
      <c r="L243" s="245"/>
      <c r="M243" s="245"/>
      <c r="N243" s="245"/>
      <c r="O243" s="245"/>
      <c r="P243" s="245"/>
      <c r="Q243" s="245"/>
      <c r="R243" s="245"/>
      <c r="S243" s="245"/>
      <c r="T243" s="245"/>
      <c r="U243" s="245"/>
      <c r="V243" s="245"/>
      <c r="W243" s="245"/>
      <c r="X243" s="245"/>
      <c r="Y243" s="245"/>
      <c r="Z243" s="245"/>
      <c r="AA243" s="245"/>
      <c r="AB243" s="245"/>
    </row>
    <row r="244" spans="1:28" ht="38.25" customHeight="1">
      <c r="A244" s="245"/>
      <c r="B244" s="245"/>
      <c r="C244" s="1024" t="s">
        <v>1574</v>
      </c>
      <c r="D244" s="1024"/>
      <c r="E244" s="1024"/>
      <c r="F244" s="1024"/>
      <c r="G244" s="1024"/>
      <c r="H244" s="1024"/>
      <c r="I244" s="1024"/>
      <c r="J244" s="1024"/>
      <c r="K244" s="1024"/>
      <c r="L244" s="374"/>
      <c r="M244" s="245"/>
      <c r="N244" s="245"/>
      <c r="O244" s="245"/>
      <c r="P244" s="245"/>
      <c r="Q244" s="245"/>
      <c r="R244" s="245"/>
      <c r="S244" s="245"/>
      <c r="T244" s="245"/>
      <c r="U244" s="245"/>
      <c r="V244" s="245"/>
      <c r="W244" s="245"/>
      <c r="X244" s="245"/>
      <c r="Y244" s="245"/>
      <c r="Z244" s="245"/>
      <c r="AA244" s="245"/>
      <c r="AB244" s="245"/>
    </row>
    <row r="245" spans="1:28" ht="14.1" customHeight="1">
      <c r="A245" s="245"/>
      <c r="B245" s="245"/>
      <c r="C245" s="245"/>
      <c r="D245" s="245"/>
      <c r="E245" s="268"/>
      <c r="F245" s="268"/>
      <c r="G245" s="268"/>
      <c r="H245" s="245"/>
      <c r="I245" s="245"/>
      <c r="J245" s="245"/>
      <c r="K245" s="245"/>
      <c r="L245" s="245"/>
      <c r="M245" s="245"/>
      <c r="N245" s="245"/>
      <c r="O245" s="245"/>
      <c r="P245" s="245"/>
      <c r="Q245" s="245"/>
      <c r="R245" s="245"/>
      <c r="S245" s="245"/>
      <c r="T245" s="245"/>
      <c r="U245" s="245"/>
      <c r="V245" s="245"/>
      <c r="W245" s="245"/>
      <c r="X245" s="245"/>
      <c r="Y245" s="245"/>
      <c r="Z245" s="245"/>
      <c r="AA245" s="245"/>
      <c r="AB245" s="245"/>
    </row>
    <row r="246" spans="1:28" ht="18" customHeight="1">
      <c r="B246" s="376" t="s">
        <v>1575</v>
      </c>
      <c r="C246" s="436" t="s">
        <v>1576</v>
      </c>
      <c r="D246" s="378"/>
      <c r="E246" s="378"/>
      <c r="F246" s="378"/>
      <c r="G246" s="378"/>
      <c r="H246" s="378"/>
      <c r="I246" s="378"/>
      <c r="J246" s="378"/>
      <c r="K246" s="378"/>
      <c r="L246" s="379"/>
      <c r="M246" s="245"/>
      <c r="N246" s="245"/>
      <c r="O246" s="245"/>
      <c r="P246" s="245"/>
      <c r="Q246" s="245"/>
      <c r="R246" s="245"/>
      <c r="S246" s="245"/>
      <c r="T246" s="245"/>
      <c r="U246" s="245"/>
      <c r="V246" s="245"/>
      <c r="W246" s="245"/>
      <c r="X246" s="245"/>
      <c r="Y246" s="245"/>
      <c r="Z246" s="245"/>
      <c r="AA246" s="245"/>
      <c r="AB246" s="245"/>
    </row>
    <row r="247" spans="1:28" ht="14.1" customHeight="1" thickBot="1">
      <c r="A247" s="245"/>
      <c r="B247" s="437"/>
      <c r="C247" s="438"/>
      <c r="D247" s="245"/>
      <c r="E247" s="268"/>
      <c r="F247" s="268"/>
      <c r="G247" s="268"/>
      <c r="H247" s="245"/>
      <c r="I247" s="245"/>
      <c r="J247" s="245"/>
      <c r="K247" s="245"/>
      <c r="L247" s="245"/>
      <c r="M247" s="245"/>
      <c r="N247" s="245"/>
      <c r="O247" s="245"/>
      <c r="P247" s="245"/>
      <c r="Q247" s="245"/>
      <c r="R247" s="245"/>
      <c r="S247" s="245"/>
      <c r="T247" s="245"/>
      <c r="U247" s="245"/>
      <c r="V247" s="245"/>
      <c r="W247" s="245"/>
      <c r="X247" s="245"/>
      <c r="Y247" s="245"/>
      <c r="Z247" s="245"/>
      <c r="AA247" s="245"/>
      <c r="AB247" s="245"/>
    </row>
    <row r="248" spans="1:28" ht="32.1" customHeight="1" thickBot="1">
      <c r="A248" s="245"/>
      <c r="B248" s="245"/>
      <c r="C248" s="439" t="s">
        <v>1577</v>
      </c>
      <c r="D248" s="440" t="s">
        <v>1578</v>
      </c>
      <c r="E248" s="1031" t="s">
        <v>1579</v>
      </c>
      <c r="F248" s="1032"/>
      <c r="G248" s="1033"/>
      <c r="H248" s="245"/>
      <c r="I248" s="245"/>
      <c r="J248" s="245"/>
      <c r="K248" s="245"/>
      <c r="L248" s="245"/>
      <c r="M248" s="245"/>
      <c r="N248" s="245"/>
      <c r="O248" s="245"/>
      <c r="P248" s="245"/>
      <c r="Q248" s="245"/>
      <c r="R248" s="245"/>
      <c r="S248" s="245"/>
      <c r="T248" s="245"/>
      <c r="U248" s="245"/>
      <c r="V248" s="245"/>
      <c r="W248" s="245"/>
      <c r="X248" s="245"/>
      <c r="Y248" s="245"/>
      <c r="Z248" s="245"/>
      <c r="AA248" s="245"/>
      <c r="AB248" s="245"/>
    </row>
    <row r="249" spans="1:28" ht="14.1" customHeight="1">
      <c r="A249" s="245"/>
      <c r="B249" s="245"/>
      <c r="C249" s="441" t="s">
        <v>1580</v>
      </c>
      <c r="D249" s="442">
        <v>18.2</v>
      </c>
      <c r="E249" s="1034" t="s">
        <v>1581</v>
      </c>
      <c r="F249" s="1034"/>
      <c r="G249" s="1035"/>
      <c r="H249" s="245"/>
      <c r="I249" s="245"/>
      <c r="J249" s="245"/>
      <c r="K249" s="245"/>
      <c r="L249" s="245"/>
      <c r="M249" s="245"/>
      <c r="N249" s="245"/>
      <c r="O249" s="245"/>
      <c r="P249" s="245"/>
      <c r="Q249" s="245"/>
      <c r="R249" s="245"/>
      <c r="S249" s="245"/>
      <c r="T249" s="245"/>
      <c r="U249" s="245"/>
      <c r="V249" s="245"/>
      <c r="W249" s="245"/>
      <c r="X249" s="245"/>
      <c r="Y249" s="245"/>
      <c r="Z249" s="245"/>
      <c r="AA249" s="245"/>
      <c r="AB249" s="245"/>
    </row>
    <row r="250" spans="1:28" ht="14.1" customHeight="1">
      <c r="A250" s="245"/>
      <c r="B250" s="245"/>
      <c r="C250" s="281" t="s">
        <v>1582</v>
      </c>
      <c r="D250" s="443">
        <v>15.4</v>
      </c>
      <c r="E250" s="1036" t="s">
        <v>1583</v>
      </c>
      <c r="F250" s="1036"/>
      <c r="G250" s="1037"/>
      <c r="H250" s="245"/>
      <c r="I250" s="245"/>
      <c r="J250" s="245"/>
      <c r="K250" s="245"/>
      <c r="L250" s="245"/>
      <c r="M250" s="245"/>
      <c r="N250" s="245"/>
      <c r="O250" s="245"/>
      <c r="P250" s="245"/>
      <c r="Q250" s="245"/>
      <c r="R250" s="245"/>
      <c r="S250" s="245"/>
      <c r="T250" s="245"/>
      <c r="U250" s="245"/>
      <c r="V250" s="245"/>
      <c r="W250" s="245"/>
      <c r="X250" s="245"/>
      <c r="Y250" s="245"/>
      <c r="Z250" s="245"/>
      <c r="AA250" s="245"/>
      <c r="AB250" s="245"/>
    </row>
    <row r="251" spans="1:28" ht="14.1" customHeight="1">
      <c r="A251" s="245"/>
      <c r="B251" s="245"/>
      <c r="C251" s="281" t="s">
        <v>1584</v>
      </c>
      <c r="D251" s="444">
        <v>21</v>
      </c>
      <c r="E251" s="1036" t="s">
        <v>1585</v>
      </c>
      <c r="F251" s="1036"/>
      <c r="G251" s="1037"/>
      <c r="H251" s="245"/>
      <c r="I251" s="245"/>
      <c r="J251" s="245"/>
      <c r="K251" s="245"/>
      <c r="L251" s="245"/>
      <c r="M251" s="245"/>
      <c r="N251" s="245"/>
      <c r="O251" s="245"/>
      <c r="P251" s="245"/>
      <c r="Q251" s="245"/>
      <c r="R251" s="245"/>
      <c r="S251" s="245"/>
      <c r="T251" s="245"/>
      <c r="U251" s="245"/>
      <c r="V251" s="245"/>
      <c r="W251" s="245"/>
      <c r="X251" s="245"/>
      <c r="Y251" s="245"/>
      <c r="Z251" s="245"/>
      <c r="AA251" s="245"/>
      <c r="AB251" s="245"/>
    </row>
    <row r="252" spans="1:28" ht="14.1" customHeight="1">
      <c r="A252" s="245"/>
      <c r="B252" s="245"/>
      <c r="C252" s="281" t="s">
        <v>1586</v>
      </c>
      <c r="D252" s="444">
        <v>1680</v>
      </c>
      <c r="E252" s="1036" t="s">
        <v>1587</v>
      </c>
      <c r="F252" s="1036"/>
      <c r="G252" s="1037"/>
      <c r="H252" s="245"/>
      <c r="I252" s="245"/>
      <c r="J252" s="245"/>
      <c r="K252" s="245"/>
      <c r="L252" s="245"/>
      <c r="M252" s="245"/>
      <c r="N252" s="245"/>
      <c r="O252" s="245"/>
      <c r="P252" s="245"/>
      <c r="Q252" s="245"/>
      <c r="R252" s="245"/>
      <c r="S252" s="245"/>
      <c r="T252" s="245"/>
      <c r="U252" s="245"/>
      <c r="V252" s="245"/>
      <c r="W252" s="245"/>
      <c r="X252" s="245"/>
      <c r="Y252" s="245"/>
      <c r="Z252" s="245"/>
      <c r="AA252" s="245"/>
      <c r="AB252" s="245"/>
    </row>
    <row r="253" spans="1:28" ht="14.1" customHeight="1">
      <c r="A253" s="245"/>
      <c r="B253" s="245"/>
      <c r="C253" s="281" t="s">
        <v>1588</v>
      </c>
      <c r="D253" s="444">
        <v>1064</v>
      </c>
      <c r="E253" s="1036" t="s">
        <v>1589</v>
      </c>
      <c r="F253" s="1036"/>
      <c r="G253" s="1037"/>
      <c r="H253" s="245"/>
      <c r="I253" s="245"/>
      <c r="J253" s="245"/>
      <c r="K253" s="245"/>
      <c r="L253" s="245"/>
      <c r="M253" s="245"/>
      <c r="N253" s="245"/>
      <c r="O253" s="245"/>
      <c r="P253" s="245"/>
      <c r="Q253" s="245"/>
      <c r="R253" s="245"/>
      <c r="S253" s="245"/>
      <c r="T253" s="245"/>
      <c r="U253" s="245"/>
      <c r="V253" s="245"/>
      <c r="W253" s="245"/>
      <c r="X253" s="245"/>
      <c r="Y253" s="245"/>
      <c r="Z253" s="245"/>
      <c r="AA253" s="245"/>
      <c r="AB253" s="245"/>
    </row>
    <row r="254" spans="1:28" ht="14.1" customHeight="1">
      <c r="A254" s="245"/>
      <c r="B254" s="245"/>
      <c r="C254" s="281" t="s">
        <v>1590</v>
      </c>
      <c r="D254" s="444">
        <v>2730</v>
      </c>
      <c r="E254" s="1036" t="s">
        <v>1591</v>
      </c>
      <c r="F254" s="1036"/>
      <c r="G254" s="1037"/>
      <c r="H254" s="245"/>
      <c r="I254" s="245"/>
      <c r="J254" s="245"/>
      <c r="K254" s="245"/>
      <c r="L254" s="245"/>
      <c r="M254" s="245"/>
      <c r="N254" s="245"/>
      <c r="O254" s="245"/>
      <c r="P254" s="245"/>
      <c r="Q254" s="245"/>
      <c r="R254" s="245"/>
      <c r="S254" s="245"/>
      <c r="T254" s="245"/>
      <c r="U254" s="245"/>
      <c r="V254" s="245"/>
      <c r="W254" s="245"/>
      <c r="X254" s="245"/>
      <c r="Y254" s="245"/>
      <c r="Z254" s="245"/>
      <c r="AA254" s="245"/>
      <c r="AB254" s="245"/>
    </row>
    <row r="255" spans="1:28" ht="14.1" customHeight="1">
      <c r="A255" s="245"/>
      <c r="B255" s="245"/>
      <c r="C255" s="281" t="s">
        <v>1592</v>
      </c>
      <c r="D255" s="444">
        <v>3260</v>
      </c>
      <c r="E255" s="1036" t="s">
        <v>1593</v>
      </c>
      <c r="F255" s="1036"/>
      <c r="G255" s="1037"/>
      <c r="H255" s="245"/>
      <c r="I255" s="245"/>
      <c r="J255" s="245"/>
      <c r="K255" s="245"/>
      <c r="L255" s="245"/>
      <c r="M255" s="245"/>
      <c r="N255" s="245"/>
      <c r="O255" s="245"/>
      <c r="P255" s="245"/>
      <c r="Q255" s="245"/>
      <c r="R255" s="245"/>
      <c r="S255" s="245"/>
      <c r="T255" s="245"/>
      <c r="U255" s="245"/>
      <c r="V255" s="245"/>
      <c r="W255" s="245"/>
      <c r="X255" s="245"/>
      <c r="Y255" s="245"/>
      <c r="Z255" s="245"/>
      <c r="AA255" s="245"/>
      <c r="AB255" s="245"/>
    </row>
    <row r="256" spans="1:28" ht="14.1" customHeight="1">
      <c r="A256" s="245"/>
      <c r="B256" s="245"/>
      <c r="C256" s="281" t="s">
        <v>1594</v>
      </c>
      <c r="D256" s="443">
        <v>0</v>
      </c>
      <c r="E256" s="1036" t="s">
        <v>1595</v>
      </c>
      <c r="F256" s="1036"/>
      <c r="G256" s="1037"/>
      <c r="H256" s="245"/>
      <c r="I256" s="245"/>
      <c r="J256" s="245"/>
      <c r="K256" s="245"/>
      <c r="L256" s="245"/>
      <c r="M256" s="245"/>
      <c r="N256" s="245"/>
      <c r="O256" s="245"/>
      <c r="P256" s="245"/>
      <c r="Q256" s="245"/>
      <c r="R256" s="245"/>
      <c r="S256" s="245"/>
      <c r="T256" s="245"/>
      <c r="U256" s="245"/>
      <c r="V256" s="245"/>
      <c r="W256" s="245"/>
      <c r="X256" s="245"/>
      <c r="Y256" s="245"/>
      <c r="Z256" s="245"/>
      <c r="AA256" s="245"/>
      <c r="AB256" s="245"/>
    </row>
    <row r="257" spans="1:28" ht="14.1" customHeight="1">
      <c r="A257" s="245"/>
      <c r="B257" s="245"/>
      <c r="C257" s="281" t="s">
        <v>1596</v>
      </c>
      <c r="D257" s="444">
        <v>1770</v>
      </c>
      <c r="E257" s="1036" t="s">
        <v>1597</v>
      </c>
      <c r="F257" s="1036"/>
      <c r="G257" s="1037"/>
      <c r="H257" s="245"/>
      <c r="I257" s="245"/>
      <c r="J257" s="245"/>
      <c r="K257" s="245"/>
      <c r="L257" s="245"/>
      <c r="M257" s="245"/>
      <c r="N257" s="245"/>
      <c r="O257" s="245"/>
      <c r="P257" s="245"/>
      <c r="Q257" s="245"/>
      <c r="R257" s="245"/>
      <c r="S257" s="245"/>
      <c r="T257" s="245"/>
      <c r="U257" s="245"/>
      <c r="V257" s="245"/>
      <c r="W257" s="245"/>
      <c r="X257" s="245"/>
      <c r="Y257" s="245"/>
      <c r="Z257" s="245"/>
      <c r="AA257" s="245"/>
      <c r="AB257" s="245"/>
    </row>
    <row r="258" spans="1:28" ht="14.1" customHeight="1">
      <c r="A258" s="245"/>
      <c r="B258" s="245"/>
      <c r="C258" s="281" t="s">
        <v>1598</v>
      </c>
      <c r="D258" s="444">
        <v>2285</v>
      </c>
      <c r="E258" s="1036" t="s">
        <v>1599</v>
      </c>
      <c r="F258" s="1036"/>
      <c r="G258" s="1037"/>
      <c r="H258" s="245"/>
      <c r="I258" s="245"/>
      <c r="J258" s="245"/>
      <c r="K258" s="245"/>
      <c r="L258" s="245"/>
      <c r="M258" s="245"/>
      <c r="N258" s="245"/>
      <c r="O258" s="245"/>
      <c r="P258" s="245"/>
      <c r="Q258" s="245"/>
      <c r="R258" s="245"/>
      <c r="S258" s="245"/>
      <c r="T258" s="245"/>
      <c r="U258" s="245"/>
      <c r="V258" s="245"/>
      <c r="W258" s="245"/>
      <c r="X258" s="245"/>
      <c r="Y258" s="245"/>
      <c r="Z258" s="245"/>
      <c r="AA258" s="245"/>
      <c r="AB258" s="245"/>
    </row>
    <row r="259" spans="1:28" ht="14.1" customHeight="1">
      <c r="A259" s="245"/>
      <c r="B259" s="245"/>
      <c r="C259" s="281" t="s">
        <v>1600</v>
      </c>
      <c r="D259" s="443">
        <v>1525.5</v>
      </c>
      <c r="E259" s="1036" t="s">
        <v>1601</v>
      </c>
      <c r="F259" s="1036"/>
      <c r="G259" s="1037"/>
      <c r="H259" s="245"/>
      <c r="I259" s="245"/>
      <c r="J259" s="245"/>
      <c r="K259" s="245"/>
      <c r="L259" s="245"/>
      <c r="M259" s="245"/>
      <c r="N259" s="245"/>
      <c r="O259" s="245"/>
      <c r="P259" s="245"/>
      <c r="Q259" s="245"/>
      <c r="R259" s="245"/>
      <c r="S259" s="245"/>
      <c r="T259" s="245"/>
      <c r="U259" s="245"/>
      <c r="V259" s="245"/>
      <c r="W259" s="245"/>
      <c r="X259" s="245"/>
      <c r="Y259" s="245"/>
      <c r="Z259" s="245"/>
      <c r="AA259" s="245"/>
      <c r="AB259" s="245"/>
    </row>
    <row r="260" spans="1:28" ht="14.1" customHeight="1">
      <c r="A260" s="245"/>
      <c r="B260" s="245"/>
      <c r="C260" s="281" t="s">
        <v>1602</v>
      </c>
      <c r="D260" s="443">
        <v>1427.5</v>
      </c>
      <c r="E260" s="1036" t="s">
        <v>1603</v>
      </c>
      <c r="F260" s="1036"/>
      <c r="G260" s="1037"/>
      <c r="H260" s="245"/>
      <c r="I260" s="245"/>
      <c r="J260" s="245"/>
      <c r="K260" s="245"/>
      <c r="L260" s="245"/>
      <c r="M260" s="245"/>
      <c r="N260" s="245"/>
      <c r="O260" s="245"/>
      <c r="P260" s="245"/>
      <c r="Q260" s="245"/>
      <c r="R260" s="245"/>
      <c r="S260" s="245"/>
      <c r="T260" s="245"/>
      <c r="U260" s="245"/>
      <c r="V260" s="245"/>
      <c r="W260" s="245"/>
      <c r="X260" s="245"/>
      <c r="Y260" s="245"/>
      <c r="Z260" s="245"/>
      <c r="AA260" s="245"/>
      <c r="AB260" s="245"/>
    </row>
    <row r="261" spans="1:28" ht="14.1" customHeight="1">
      <c r="A261" s="245"/>
      <c r="B261" s="245"/>
      <c r="C261" s="281" t="s">
        <v>1604</v>
      </c>
      <c r="D261" s="443">
        <v>1362.5</v>
      </c>
      <c r="E261" s="1036" t="s">
        <v>1605</v>
      </c>
      <c r="F261" s="1036"/>
      <c r="G261" s="1037"/>
      <c r="H261" s="245"/>
      <c r="I261" s="245"/>
      <c r="J261" s="245"/>
      <c r="K261" s="245"/>
      <c r="L261" s="245"/>
      <c r="M261" s="245"/>
      <c r="N261" s="245"/>
      <c r="O261" s="245"/>
      <c r="P261" s="245"/>
      <c r="Q261" s="245"/>
      <c r="R261" s="245"/>
      <c r="S261" s="245"/>
      <c r="T261" s="245"/>
      <c r="U261" s="245"/>
      <c r="V261" s="245"/>
      <c r="W261" s="245"/>
      <c r="X261" s="245"/>
      <c r="Y261" s="245"/>
      <c r="Z261" s="245"/>
      <c r="AA261" s="245"/>
      <c r="AB261" s="245"/>
    </row>
    <row r="262" spans="1:28" ht="14.1" customHeight="1">
      <c r="A262" s="245"/>
      <c r="B262" s="245"/>
      <c r="C262" s="281" t="s">
        <v>1606</v>
      </c>
      <c r="D262" s="444">
        <v>1944</v>
      </c>
      <c r="E262" s="1036" t="s">
        <v>1607</v>
      </c>
      <c r="F262" s="1036"/>
      <c r="G262" s="1037"/>
      <c r="H262" s="245"/>
      <c r="I262" s="245"/>
      <c r="J262" s="245"/>
      <c r="K262" s="245"/>
      <c r="L262" s="245"/>
      <c r="M262" s="245"/>
      <c r="N262" s="245"/>
      <c r="O262" s="245"/>
      <c r="P262" s="245"/>
      <c r="Q262" s="245"/>
      <c r="R262" s="245"/>
      <c r="S262" s="245"/>
      <c r="T262" s="245"/>
      <c r="U262" s="245"/>
      <c r="V262" s="245"/>
      <c r="W262" s="245"/>
      <c r="X262" s="245"/>
      <c r="Y262" s="245"/>
      <c r="Z262" s="245"/>
      <c r="AA262" s="245"/>
      <c r="AB262" s="245"/>
    </row>
    <row r="263" spans="1:28" ht="14.1" customHeight="1">
      <c r="A263" s="245"/>
      <c r="B263" s="245"/>
      <c r="C263" s="281" t="s">
        <v>1608</v>
      </c>
      <c r="D263" s="443">
        <v>0</v>
      </c>
      <c r="E263" s="1036" t="s">
        <v>1609</v>
      </c>
      <c r="F263" s="1036"/>
      <c r="G263" s="1037"/>
      <c r="H263" s="245"/>
      <c r="I263" s="245"/>
      <c r="J263" s="245"/>
      <c r="K263" s="245"/>
      <c r="L263" s="245"/>
      <c r="M263" s="245"/>
      <c r="N263" s="245"/>
      <c r="O263" s="245"/>
      <c r="P263" s="245"/>
      <c r="Q263" s="245"/>
      <c r="R263" s="245"/>
      <c r="S263" s="245"/>
      <c r="T263" s="245"/>
      <c r="U263" s="245"/>
      <c r="V263" s="245"/>
      <c r="W263" s="245"/>
      <c r="X263" s="245"/>
      <c r="Y263" s="245"/>
      <c r="Z263" s="245"/>
      <c r="AA263" s="245"/>
      <c r="AB263" s="245"/>
    </row>
    <row r="264" spans="1:28" ht="14.1" customHeight="1">
      <c r="A264" s="245"/>
      <c r="B264" s="245"/>
      <c r="C264" s="281" t="s">
        <v>1610</v>
      </c>
      <c r="D264" s="444">
        <v>1725</v>
      </c>
      <c r="E264" s="1036" t="s">
        <v>1611</v>
      </c>
      <c r="F264" s="1036"/>
      <c r="G264" s="1037"/>
      <c r="H264" s="245"/>
      <c r="I264" s="245"/>
      <c r="J264" s="245"/>
      <c r="K264" s="245"/>
      <c r="L264" s="245"/>
      <c r="M264" s="245"/>
      <c r="N264" s="245"/>
      <c r="O264" s="245"/>
      <c r="P264" s="245"/>
      <c r="Q264" s="245"/>
      <c r="R264" s="245"/>
      <c r="S264" s="245"/>
      <c r="T264" s="245"/>
      <c r="U264" s="245"/>
      <c r="V264" s="245"/>
      <c r="W264" s="245"/>
      <c r="X264" s="245"/>
      <c r="Y264" s="245"/>
      <c r="Z264" s="245"/>
      <c r="AA264" s="245"/>
      <c r="AB264" s="245"/>
    </row>
    <row r="265" spans="1:28" ht="14.1" customHeight="1">
      <c r="A265" s="245"/>
      <c r="B265" s="245"/>
      <c r="C265" s="281" t="s">
        <v>1612</v>
      </c>
      <c r="D265" s="443">
        <v>1832.5</v>
      </c>
      <c r="E265" s="1036" t="s">
        <v>1613</v>
      </c>
      <c r="F265" s="1036"/>
      <c r="G265" s="1037"/>
      <c r="H265" s="245"/>
      <c r="I265" s="245"/>
      <c r="J265" s="245"/>
      <c r="K265" s="245"/>
      <c r="L265" s="245"/>
      <c r="M265" s="245"/>
      <c r="N265" s="245"/>
      <c r="O265" s="245"/>
      <c r="P265" s="245"/>
      <c r="Q265" s="245"/>
      <c r="R265" s="245"/>
      <c r="S265" s="245"/>
      <c r="T265" s="245"/>
      <c r="U265" s="245"/>
      <c r="V265" s="245"/>
      <c r="W265" s="245"/>
      <c r="X265" s="245"/>
      <c r="Y265" s="245"/>
      <c r="Z265" s="245"/>
      <c r="AA265" s="245"/>
      <c r="AB265" s="245"/>
    </row>
    <row r="266" spans="1:28" ht="14.1" customHeight="1">
      <c r="A266" s="245"/>
      <c r="B266" s="245"/>
      <c r="C266" s="281" t="s">
        <v>1614</v>
      </c>
      <c r="D266" s="443">
        <v>15.4</v>
      </c>
      <c r="E266" s="1036" t="s">
        <v>1615</v>
      </c>
      <c r="F266" s="1036"/>
      <c r="G266" s="1037"/>
      <c r="H266" s="245"/>
      <c r="I266" s="245"/>
      <c r="J266" s="245"/>
      <c r="K266" s="245"/>
      <c r="L266" s="245"/>
      <c r="M266" s="245"/>
      <c r="N266" s="245"/>
      <c r="O266" s="245"/>
      <c r="P266" s="245"/>
      <c r="Q266" s="245"/>
      <c r="R266" s="245"/>
      <c r="S266" s="245"/>
      <c r="T266" s="245"/>
      <c r="U266" s="245"/>
      <c r="V266" s="245"/>
      <c r="W266" s="245"/>
      <c r="X266" s="245"/>
      <c r="Y266" s="245"/>
      <c r="Z266" s="245"/>
      <c r="AA266" s="245"/>
      <c r="AB266" s="245"/>
    </row>
    <row r="267" spans="1:28" ht="14.1" customHeight="1">
      <c r="A267" s="245"/>
      <c r="B267" s="245"/>
      <c r="C267" s="281" t="s">
        <v>1616</v>
      </c>
      <c r="D267" s="443">
        <v>4.2</v>
      </c>
      <c r="E267" s="1036" t="s">
        <v>1617</v>
      </c>
      <c r="F267" s="1036"/>
      <c r="G267" s="1037"/>
      <c r="H267" s="245"/>
      <c r="I267" s="245"/>
      <c r="J267" s="245"/>
      <c r="K267" s="245"/>
      <c r="L267" s="245"/>
      <c r="M267" s="245"/>
      <c r="N267" s="245"/>
      <c r="O267" s="245"/>
      <c r="P267" s="245"/>
      <c r="Q267" s="245"/>
      <c r="R267" s="245"/>
      <c r="S267" s="245"/>
      <c r="T267" s="245"/>
      <c r="U267" s="245"/>
      <c r="V267" s="245"/>
      <c r="W267" s="245"/>
      <c r="X267" s="245"/>
      <c r="Y267" s="245"/>
      <c r="Z267" s="245"/>
      <c r="AA267" s="245"/>
      <c r="AB267" s="245"/>
    </row>
    <row r="268" spans="1:28" ht="14.1" customHeight="1">
      <c r="A268" s="245"/>
      <c r="B268" s="245"/>
      <c r="C268" s="281" t="s">
        <v>1618</v>
      </c>
      <c r="D268" s="444">
        <v>1774</v>
      </c>
      <c r="E268" s="1036" t="s">
        <v>1619</v>
      </c>
      <c r="F268" s="1036"/>
      <c r="G268" s="1037"/>
      <c r="H268" s="245"/>
      <c r="I268" s="245"/>
      <c r="J268" s="245"/>
      <c r="K268" s="245"/>
      <c r="L268" s="245"/>
      <c r="M268" s="245"/>
      <c r="N268" s="245"/>
      <c r="O268" s="245"/>
      <c r="P268" s="245"/>
      <c r="Q268" s="245"/>
      <c r="R268" s="245"/>
      <c r="S268" s="245"/>
      <c r="T268" s="245"/>
      <c r="U268" s="245"/>
      <c r="V268" s="245"/>
      <c r="W268" s="245"/>
      <c r="X268" s="245"/>
      <c r="Y268" s="245"/>
      <c r="Z268" s="245"/>
      <c r="AA268" s="245"/>
      <c r="AB268" s="245"/>
    </row>
    <row r="269" spans="1:28" ht="14.1" customHeight="1">
      <c r="A269" s="245"/>
      <c r="B269" s="245"/>
      <c r="C269" s="281" t="s">
        <v>1620</v>
      </c>
      <c r="D269" s="443">
        <v>0</v>
      </c>
      <c r="E269" s="1036" t="s">
        <v>1621</v>
      </c>
      <c r="F269" s="1036"/>
      <c r="G269" s="1037"/>
      <c r="H269" s="245"/>
      <c r="I269" s="245"/>
      <c r="J269" s="245"/>
      <c r="K269" s="245"/>
      <c r="L269" s="245"/>
      <c r="M269" s="245"/>
      <c r="N269" s="245"/>
      <c r="O269" s="245"/>
      <c r="P269" s="245"/>
      <c r="Q269" s="245"/>
      <c r="R269" s="245"/>
      <c r="S269" s="245"/>
      <c r="T269" s="245"/>
      <c r="U269" s="245"/>
      <c r="V269" s="245"/>
      <c r="W269" s="245"/>
      <c r="X269" s="245"/>
      <c r="Y269" s="245"/>
      <c r="Z269" s="245"/>
      <c r="AA269" s="245"/>
      <c r="AB269" s="245"/>
    </row>
    <row r="270" spans="1:28" ht="14.1" customHeight="1">
      <c r="A270" s="245"/>
      <c r="B270" s="245"/>
      <c r="C270" s="281" t="s">
        <v>1622</v>
      </c>
      <c r="D270" s="443">
        <v>0</v>
      </c>
      <c r="E270" s="1036" t="s">
        <v>1623</v>
      </c>
      <c r="F270" s="1036"/>
      <c r="G270" s="1037"/>
      <c r="H270" s="245"/>
      <c r="I270" s="245"/>
      <c r="J270" s="245"/>
      <c r="K270" s="245"/>
      <c r="L270" s="245"/>
      <c r="M270" s="245"/>
      <c r="N270" s="245"/>
      <c r="O270" s="245"/>
      <c r="P270" s="245"/>
      <c r="Q270" s="245"/>
      <c r="R270" s="245"/>
      <c r="S270" s="245"/>
      <c r="T270" s="245"/>
      <c r="U270" s="245"/>
      <c r="V270" s="245"/>
      <c r="W270" s="245"/>
      <c r="X270" s="245"/>
      <c r="Y270" s="245"/>
      <c r="Z270" s="245"/>
      <c r="AA270" s="245"/>
      <c r="AB270" s="245"/>
    </row>
    <row r="271" spans="1:28" ht="14.1" customHeight="1">
      <c r="A271" s="245"/>
      <c r="B271" s="245"/>
      <c r="C271" s="281" t="s">
        <v>1624</v>
      </c>
      <c r="D271" s="443">
        <v>1954.8</v>
      </c>
      <c r="E271" s="1036" t="s">
        <v>1625</v>
      </c>
      <c r="F271" s="1036"/>
      <c r="G271" s="1037"/>
      <c r="H271" s="245"/>
      <c r="I271" s="245"/>
      <c r="J271" s="245"/>
      <c r="K271" s="245"/>
      <c r="L271" s="245"/>
      <c r="M271" s="245"/>
      <c r="N271" s="245"/>
      <c r="O271" s="245"/>
      <c r="P271" s="245"/>
      <c r="Q271" s="245"/>
      <c r="R271" s="245"/>
      <c r="S271" s="245"/>
      <c r="T271" s="245"/>
      <c r="U271" s="245"/>
      <c r="V271" s="245"/>
      <c r="W271" s="245"/>
      <c r="X271" s="245"/>
      <c r="Y271" s="245"/>
      <c r="Z271" s="245"/>
      <c r="AA271" s="245"/>
      <c r="AB271" s="245"/>
    </row>
    <row r="272" spans="1:28" ht="14.1" customHeight="1">
      <c r="A272" s="245"/>
      <c r="B272" s="245"/>
      <c r="C272" s="281" t="s">
        <v>1626</v>
      </c>
      <c r="D272" s="443">
        <v>2532.3000000000002</v>
      </c>
      <c r="E272" s="1036" t="s">
        <v>1627</v>
      </c>
      <c r="F272" s="1036"/>
      <c r="G272" s="1037"/>
      <c r="H272" s="245"/>
      <c r="I272" s="245"/>
      <c r="J272" s="245"/>
      <c r="K272" s="245"/>
      <c r="L272" s="245"/>
      <c r="M272" s="245"/>
      <c r="N272" s="245"/>
      <c r="O272" s="245"/>
      <c r="P272" s="245"/>
      <c r="Q272" s="245"/>
      <c r="R272" s="245"/>
      <c r="S272" s="245"/>
      <c r="T272" s="245"/>
      <c r="U272" s="245"/>
      <c r="V272" s="245"/>
      <c r="W272" s="245"/>
      <c r="X272" s="245"/>
      <c r="Y272" s="245"/>
      <c r="Z272" s="245"/>
      <c r="AA272" s="245"/>
      <c r="AB272" s="245"/>
    </row>
    <row r="273" spans="1:28" ht="14.1" customHeight="1">
      <c r="A273" s="245"/>
      <c r="B273" s="245"/>
      <c r="C273" s="281" t="s">
        <v>1628</v>
      </c>
      <c r="D273" s="443">
        <v>2232.3000000000002</v>
      </c>
      <c r="E273" s="1036" t="s">
        <v>1629</v>
      </c>
      <c r="F273" s="1036"/>
      <c r="G273" s="1037"/>
      <c r="H273" s="245"/>
      <c r="I273" s="245"/>
      <c r="J273" s="245"/>
      <c r="K273" s="245"/>
      <c r="L273" s="245"/>
      <c r="M273" s="245"/>
      <c r="N273" s="245"/>
      <c r="O273" s="245"/>
      <c r="P273" s="245"/>
      <c r="Q273" s="245"/>
      <c r="R273" s="245"/>
      <c r="S273" s="245"/>
      <c r="T273" s="245"/>
      <c r="U273" s="245"/>
      <c r="V273" s="245"/>
      <c r="W273" s="245"/>
      <c r="X273" s="245"/>
      <c r="Y273" s="245"/>
      <c r="Z273" s="245"/>
      <c r="AA273" s="245"/>
      <c r="AB273" s="245"/>
    </row>
    <row r="274" spans="1:28" ht="14.1" customHeight="1">
      <c r="A274" s="245"/>
      <c r="B274" s="245"/>
      <c r="C274" s="281" t="s">
        <v>1630</v>
      </c>
      <c r="D274" s="444">
        <v>2060</v>
      </c>
      <c r="E274" s="1036" t="s">
        <v>1631</v>
      </c>
      <c r="F274" s="1036"/>
      <c r="G274" s="1037"/>
      <c r="H274" s="245"/>
      <c r="I274" s="245"/>
      <c r="J274" s="245"/>
      <c r="K274" s="245"/>
      <c r="L274" s="245"/>
      <c r="M274" s="245"/>
      <c r="N274" s="245"/>
      <c r="O274" s="245"/>
      <c r="P274" s="245"/>
      <c r="Q274" s="245"/>
      <c r="R274" s="245"/>
      <c r="S274" s="245"/>
      <c r="T274" s="245"/>
      <c r="U274" s="245"/>
      <c r="V274" s="245"/>
      <c r="W274" s="245"/>
      <c r="X274" s="245"/>
      <c r="Y274" s="245"/>
      <c r="Z274" s="245"/>
      <c r="AA274" s="245"/>
      <c r="AB274" s="245"/>
    </row>
    <row r="275" spans="1:28" ht="14.1" customHeight="1">
      <c r="A275" s="245"/>
      <c r="B275" s="245"/>
      <c r="C275" s="281" t="s">
        <v>1632</v>
      </c>
      <c r="D275" s="444">
        <v>2011</v>
      </c>
      <c r="E275" s="1038" t="s">
        <v>1633</v>
      </c>
      <c r="F275" s="1036"/>
      <c r="G275" s="1037"/>
      <c r="H275" s="245"/>
      <c r="I275" s="245"/>
      <c r="J275" s="245"/>
      <c r="K275" s="245"/>
      <c r="L275" s="245"/>
      <c r="M275" s="245"/>
      <c r="N275" s="245"/>
      <c r="O275" s="245"/>
      <c r="P275" s="245"/>
      <c r="Q275" s="245"/>
      <c r="R275" s="245"/>
      <c r="S275" s="245"/>
      <c r="T275" s="245"/>
      <c r="U275" s="245"/>
      <c r="V275" s="245"/>
      <c r="W275" s="245"/>
      <c r="X275" s="245"/>
      <c r="Y275" s="245"/>
      <c r="Z275" s="245"/>
      <c r="AA275" s="245"/>
      <c r="AB275" s="245"/>
    </row>
    <row r="276" spans="1:28" ht="14.1" customHeight="1">
      <c r="A276" s="245"/>
      <c r="B276" s="245"/>
      <c r="C276" s="281" t="s">
        <v>1634</v>
      </c>
      <c r="D276" s="444">
        <v>1349</v>
      </c>
      <c r="E276" s="1039" t="s">
        <v>1633</v>
      </c>
      <c r="F276" s="1040"/>
      <c r="G276" s="1041"/>
      <c r="H276" s="245"/>
      <c r="I276" s="245"/>
      <c r="J276" s="245"/>
      <c r="K276" s="245"/>
      <c r="L276" s="245"/>
      <c r="M276" s="245"/>
      <c r="N276" s="245"/>
      <c r="O276" s="245"/>
      <c r="P276" s="245"/>
      <c r="Q276" s="245"/>
      <c r="R276" s="245"/>
      <c r="S276" s="245"/>
      <c r="T276" s="245"/>
      <c r="U276" s="245"/>
      <c r="V276" s="245"/>
      <c r="W276" s="245"/>
      <c r="X276" s="245"/>
      <c r="Y276" s="245"/>
      <c r="Z276" s="245"/>
      <c r="AA276" s="245"/>
      <c r="AB276" s="245"/>
    </row>
    <row r="277" spans="1:28" ht="14.1" customHeight="1">
      <c r="A277" s="245"/>
      <c r="B277" s="245"/>
      <c r="C277" s="281" t="s">
        <v>1635</v>
      </c>
      <c r="D277" s="444">
        <v>2930</v>
      </c>
      <c r="E277" s="1036" t="s">
        <v>1636</v>
      </c>
      <c r="F277" s="1036"/>
      <c r="G277" s="1037"/>
      <c r="H277" s="245"/>
      <c r="I277" s="245"/>
      <c r="J277" s="245"/>
      <c r="K277" s="245"/>
      <c r="L277" s="245"/>
      <c r="M277" s="245"/>
      <c r="N277" s="245"/>
      <c r="O277" s="245"/>
      <c r="P277" s="245"/>
      <c r="Q277" s="245"/>
      <c r="R277" s="245"/>
      <c r="S277" s="245"/>
      <c r="T277" s="245"/>
      <c r="U277" s="245"/>
      <c r="V277" s="245"/>
      <c r="W277" s="245"/>
      <c r="X277" s="245"/>
      <c r="Y277" s="245"/>
      <c r="Z277" s="245"/>
      <c r="AA277" s="245"/>
      <c r="AB277" s="245"/>
    </row>
    <row r="278" spans="1:28" ht="14.1" customHeight="1">
      <c r="A278" s="245"/>
      <c r="B278" s="245"/>
      <c r="C278" s="281" t="s">
        <v>1637</v>
      </c>
      <c r="D278" s="444">
        <v>2652</v>
      </c>
      <c r="E278" s="1039" t="s">
        <v>1638</v>
      </c>
      <c r="F278" s="1040"/>
      <c r="G278" s="1041"/>
      <c r="H278" s="245"/>
      <c r="I278" s="245"/>
      <c r="J278" s="245"/>
      <c r="K278" s="245"/>
      <c r="L278" s="245"/>
      <c r="M278" s="245"/>
      <c r="N278" s="245"/>
      <c r="O278" s="245"/>
      <c r="P278" s="245"/>
      <c r="Q278" s="245"/>
      <c r="R278" s="245"/>
      <c r="S278" s="245"/>
      <c r="T278" s="245"/>
      <c r="U278" s="245"/>
      <c r="V278" s="245"/>
      <c r="W278" s="245"/>
      <c r="X278" s="245"/>
      <c r="Y278" s="245"/>
      <c r="Z278" s="245"/>
      <c r="AA278" s="245"/>
      <c r="AB278" s="245"/>
    </row>
    <row r="279" spans="1:28" ht="14.1" customHeight="1">
      <c r="A279" s="245"/>
      <c r="B279" s="245"/>
      <c r="C279" s="445" t="s">
        <v>1639</v>
      </c>
      <c r="D279" s="443">
        <v>36.68</v>
      </c>
      <c r="E279" s="1036" t="s">
        <v>1640</v>
      </c>
      <c r="F279" s="1036"/>
      <c r="G279" s="1037"/>
      <c r="H279" s="245"/>
      <c r="I279" s="245"/>
      <c r="J279" s="245"/>
      <c r="K279" s="245"/>
      <c r="L279" s="245"/>
      <c r="M279" s="245"/>
      <c r="N279" s="245"/>
      <c r="O279" s="245"/>
      <c r="P279" s="245"/>
      <c r="Q279" s="245"/>
      <c r="R279" s="245"/>
      <c r="S279" s="245"/>
      <c r="T279" s="245"/>
      <c r="U279" s="245"/>
      <c r="V279" s="245"/>
      <c r="W279" s="245"/>
      <c r="X279" s="245"/>
      <c r="Y279" s="245"/>
      <c r="Z279" s="245"/>
      <c r="AA279" s="245"/>
      <c r="AB279" s="245"/>
    </row>
    <row r="280" spans="1:28" ht="14.1" customHeight="1">
      <c r="A280" s="245"/>
      <c r="B280" s="245"/>
      <c r="C280" s="445" t="s">
        <v>1641</v>
      </c>
      <c r="D280" s="443">
        <v>0</v>
      </c>
      <c r="E280" s="1036" t="s">
        <v>1642</v>
      </c>
      <c r="F280" s="1036"/>
      <c r="G280" s="1037"/>
      <c r="H280" s="245"/>
      <c r="I280" s="245"/>
      <c r="J280" s="245"/>
      <c r="K280" s="245"/>
      <c r="L280" s="245"/>
      <c r="M280" s="245"/>
      <c r="N280" s="245"/>
      <c r="O280" s="245"/>
      <c r="P280" s="245"/>
      <c r="Q280" s="245"/>
      <c r="R280" s="245"/>
      <c r="S280" s="245"/>
      <c r="T280" s="245"/>
      <c r="U280" s="245"/>
      <c r="V280" s="245"/>
      <c r="W280" s="245"/>
      <c r="X280" s="245"/>
      <c r="Y280" s="245"/>
      <c r="Z280" s="245"/>
      <c r="AA280" s="245"/>
      <c r="AB280" s="245"/>
    </row>
    <row r="281" spans="1:28" ht="14.1" customHeight="1">
      <c r="A281" s="245"/>
      <c r="B281" s="245"/>
      <c r="C281" s="445" t="s">
        <v>1643</v>
      </c>
      <c r="D281" s="443">
        <v>313.3</v>
      </c>
      <c r="E281" s="1036" t="s">
        <v>1644</v>
      </c>
      <c r="F281" s="1036"/>
      <c r="G281" s="1037"/>
      <c r="H281" s="245"/>
      <c r="I281" s="245"/>
      <c r="J281" s="245"/>
      <c r="K281" s="245"/>
      <c r="L281" s="245"/>
      <c r="M281" s="245"/>
      <c r="N281" s="245"/>
      <c r="O281" s="245"/>
      <c r="P281" s="245"/>
      <c r="Q281" s="245"/>
      <c r="R281" s="245"/>
      <c r="S281" s="245"/>
      <c r="T281" s="245"/>
      <c r="U281" s="245"/>
      <c r="V281" s="245"/>
      <c r="W281" s="245"/>
      <c r="X281" s="245"/>
      <c r="Y281" s="245"/>
      <c r="Z281" s="245"/>
      <c r="AA281" s="245"/>
      <c r="AB281" s="245"/>
    </row>
    <row r="282" spans="1:28" ht="14.1" customHeight="1">
      <c r="A282" s="245"/>
      <c r="B282" s="245"/>
      <c r="C282" s="445" t="s">
        <v>1645</v>
      </c>
      <c r="D282" s="444">
        <v>3300</v>
      </c>
      <c r="E282" s="1036" t="s">
        <v>1646</v>
      </c>
      <c r="F282" s="1036"/>
      <c r="G282" s="1037"/>
      <c r="H282" s="245"/>
      <c r="I282" s="245"/>
      <c r="J282" s="245"/>
      <c r="K282" s="245"/>
      <c r="L282" s="245"/>
      <c r="M282" s="245"/>
      <c r="N282" s="245"/>
      <c r="O282" s="245"/>
      <c r="P282" s="245"/>
      <c r="Q282" s="245"/>
      <c r="R282" s="245"/>
      <c r="S282" s="245"/>
      <c r="T282" s="245"/>
      <c r="U282" s="245"/>
      <c r="V282" s="245"/>
      <c r="W282" s="245"/>
      <c r="X282" s="245"/>
      <c r="Y282" s="245"/>
      <c r="Z282" s="245"/>
      <c r="AA282" s="245"/>
      <c r="AB282" s="245"/>
    </row>
    <row r="283" spans="1:28" ht="14.1" customHeight="1">
      <c r="A283" s="245"/>
      <c r="B283" s="245"/>
      <c r="C283" s="281" t="s">
        <v>1647</v>
      </c>
      <c r="D283" s="444">
        <v>10175</v>
      </c>
      <c r="E283" s="1036" t="s">
        <v>1648</v>
      </c>
      <c r="F283" s="1036"/>
      <c r="G283" s="1037"/>
      <c r="H283" s="245"/>
      <c r="I283" s="245"/>
      <c r="J283" s="245"/>
      <c r="K283" s="245"/>
      <c r="L283" s="245"/>
      <c r="M283" s="245"/>
      <c r="N283" s="245"/>
      <c r="O283" s="245"/>
      <c r="P283" s="245"/>
      <c r="Q283" s="245"/>
      <c r="R283" s="245"/>
      <c r="S283" s="245"/>
      <c r="T283" s="245"/>
      <c r="U283" s="245"/>
      <c r="V283" s="245"/>
      <c r="W283" s="245"/>
      <c r="X283" s="245"/>
      <c r="Y283" s="245"/>
      <c r="Z283" s="245"/>
      <c r="AA283" s="245"/>
      <c r="AB283" s="245"/>
    </row>
    <row r="284" spans="1:28" ht="14.1" customHeight="1" thickBot="1">
      <c r="A284" s="245"/>
      <c r="B284" s="245"/>
      <c r="C284" s="426" t="s">
        <v>1649</v>
      </c>
      <c r="D284" s="446">
        <v>10350</v>
      </c>
      <c r="E284" s="1042" t="s">
        <v>1650</v>
      </c>
      <c r="F284" s="1042"/>
      <c r="G284" s="1043"/>
      <c r="H284" s="245"/>
      <c r="I284" s="245"/>
      <c r="J284" s="245"/>
      <c r="K284" s="245"/>
      <c r="L284" s="245"/>
      <c r="M284" s="245"/>
      <c r="N284" s="245"/>
      <c r="O284" s="245"/>
      <c r="P284" s="245"/>
      <c r="Q284" s="245"/>
      <c r="R284" s="245"/>
      <c r="S284" s="245"/>
      <c r="T284" s="245"/>
      <c r="U284" s="245"/>
      <c r="V284" s="245"/>
      <c r="W284" s="245"/>
      <c r="X284" s="245"/>
      <c r="Y284" s="245"/>
      <c r="Z284" s="245"/>
      <c r="AA284" s="245"/>
      <c r="AB284" s="245"/>
    </row>
    <row r="285" spans="1:28" s="266" customFormat="1" ht="36.75" customHeight="1">
      <c r="A285" s="259"/>
      <c r="B285" s="248"/>
      <c r="C285" s="1023" t="s">
        <v>1574</v>
      </c>
      <c r="D285" s="1023"/>
      <c r="E285" s="1023"/>
      <c r="F285" s="1023"/>
      <c r="G285" s="1023"/>
      <c r="H285" s="1023"/>
      <c r="I285" s="1023"/>
      <c r="J285" s="1023"/>
      <c r="K285" s="1023"/>
      <c r="L285" s="259"/>
      <c r="M285" s="259"/>
      <c r="N285" s="357"/>
      <c r="O285" s="259"/>
      <c r="P285" s="259"/>
      <c r="Q285" s="259"/>
      <c r="R285" s="259"/>
      <c r="S285" s="259"/>
      <c r="T285" s="259"/>
      <c r="U285" s="259"/>
      <c r="V285" s="259"/>
      <c r="W285" s="259"/>
      <c r="X285" s="259"/>
      <c r="Y285" s="259"/>
      <c r="Z285" s="259"/>
      <c r="AA285" s="259"/>
      <c r="AB285" s="259"/>
    </row>
    <row r="286" spans="1:28">
      <c r="A286" s="245"/>
      <c r="B286" s="245"/>
      <c r="C286" s="374" t="s">
        <v>1651</v>
      </c>
      <c r="D286" s="374"/>
      <c r="E286" s="374"/>
      <c r="F286" s="374"/>
      <c r="G286" s="374"/>
      <c r="H286" s="375"/>
      <c r="I286" s="375"/>
      <c r="J286" s="375"/>
      <c r="K286" s="245"/>
      <c r="L286" s="245"/>
      <c r="M286" s="245"/>
      <c r="N286" s="245"/>
      <c r="O286" s="245"/>
      <c r="P286" s="245"/>
      <c r="Q286" s="245"/>
      <c r="R286" s="245"/>
      <c r="S286" s="245"/>
      <c r="T286" s="245"/>
      <c r="U286" s="245"/>
      <c r="V286" s="245"/>
      <c r="W286" s="245"/>
      <c r="X286" s="245"/>
      <c r="Y286" s="245"/>
      <c r="Z286" s="245"/>
      <c r="AA286" s="245"/>
      <c r="AB286" s="245"/>
    </row>
    <row r="287" spans="1:28" ht="14.1" customHeight="1">
      <c r="A287" s="245"/>
      <c r="B287" s="245"/>
      <c r="C287" s="245"/>
      <c r="D287" s="245"/>
      <c r="E287" s="245"/>
      <c r="F287" s="245"/>
      <c r="G287" s="245"/>
      <c r="H287" s="245"/>
      <c r="I287" s="245"/>
      <c r="J287" s="245"/>
      <c r="K287" s="245"/>
      <c r="L287" s="245"/>
      <c r="M287" s="245"/>
      <c r="N287" s="245"/>
      <c r="O287" s="245"/>
      <c r="P287" s="245"/>
      <c r="Q287" s="245"/>
      <c r="R287" s="245"/>
      <c r="S287" s="245"/>
      <c r="T287" s="245"/>
      <c r="U287" s="245"/>
      <c r="V287" s="245"/>
      <c r="W287" s="245"/>
      <c r="X287" s="245"/>
      <c r="Y287" s="245"/>
      <c r="Z287" s="245"/>
      <c r="AA287" s="245"/>
      <c r="AB287" s="245"/>
    </row>
    <row r="288" spans="1:28" ht="14.1" customHeight="1">
      <c r="A288" s="245"/>
      <c r="B288" s="246"/>
      <c r="C288" s="245"/>
      <c r="D288" s="245"/>
      <c r="E288" s="245"/>
      <c r="F288" s="245"/>
      <c r="G288" s="245"/>
      <c r="H288" s="245"/>
      <c r="I288" s="245"/>
      <c r="J288" s="245"/>
      <c r="K288" s="245"/>
      <c r="L288" s="245"/>
      <c r="M288" s="245"/>
      <c r="N288" s="245"/>
      <c r="O288" s="245"/>
      <c r="P288" s="245"/>
      <c r="Q288" s="245"/>
      <c r="R288" s="245"/>
      <c r="S288" s="245"/>
      <c r="T288" s="245"/>
      <c r="U288" s="245"/>
      <c r="V288" s="245"/>
      <c r="W288" s="245"/>
      <c r="X288" s="245"/>
      <c r="Y288" s="245"/>
      <c r="Z288" s="245"/>
      <c r="AA288" s="245"/>
      <c r="AB288" s="245"/>
    </row>
    <row r="289" spans="1:28" s="266" customFormat="1" ht="18" customHeight="1">
      <c r="A289" s="259"/>
      <c r="B289" s="260" t="s">
        <v>1652</v>
      </c>
      <c r="C289" s="261" t="s">
        <v>1653</v>
      </c>
      <c r="D289" s="262"/>
      <c r="E289" s="262"/>
      <c r="F289" s="263"/>
      <c r="G289" s="378"/>
      <c r="H289" s="378"/>
      <c r="I289" s="378"/>
      <c r="J289" s="378"/>
      <c r="K289" s="378"/>
      <c r="L289" s="379"/>
      <c r="M289" s="259"/>
      <c r="N289" s="259"/>
      <c r="O289" s="259"/>
      <c r="P289" s="259"/>
      <c r="Q289" s="259"/>
      <c r="R289" s="259"/>
      <c r="S289" s="259"/>
      <c r="T289" s="259"/>
      <c r="U289" s="259"/>
      <c r="V289" s="259"/>
      <c r="W289" s="259"/>
      <c r="X289" s="259"/>
      <c r="Y289" s="259"/>
      <c r="Z289" s="259"/>
      <c r="AA289" s="259"/>
      <c r="AB289" s="259"/>
    </row>
    <row r="290" spans="1:28" ht="14.1" customHeight="1">
      <c r="A290" s="245"/>
      <c r="B290" s="246"/>
      <c r="C290" s="245"/>
      <c r="D290" s="245"/>
      <c r="E290" s="245"/>
      <c r="F290" s="245"/>
      <c r="G290" s="245"/>
      <c r="H290" s="245"/>
      <c r="I290" s="245"/>
      <c r="J290" s="245"/>
      <c r="K290" s="245"/>
      <c r="L290" s="245"/>
      <c r="M290" s="245"/>
      <c r="N290" s="245"/>
      <c r="O290" s="245"/>
      <c r="P290" s="245"/>
      <c r="Q290" s="245"/>
      <c r="R290" s="245"/>
      <c r="S290" s="245"/>
      <c r="T290" s="245"/>
      <c r="U290" s="245"/>
      <c r="V290" s="245"/>
      <c r="W290" s="245"/>
      <c r="X290" s="245"/>
      <c r="Y290" s="245"/>
      <c r="Z290" s="245"/>
      <c r="AA290" s="245"/>
      <c r="AB290" s="245"/>
    </row>
    <row r="291" spans="1:28" ht="14.1" customHeight="1" thickBot="1">
      <c r="A291" s="245"/>
      <c r="B291" s="246"/>
      <c r="C291" s="420"/>
      <c r="D291" s="420"/>
      <c r="E291" s="420"/>
      <c r="F291" s="245"/>
      <c r="G291" s="245"/>
      <c r="H291" s="245"/>
      <c r="I291" s="245"/>
      <c r="J291" s="245"/>
      <c r="K291" s="245"/>
      <c r="L291" s="245"/>
      <c r="M291" s="245"/>
      <c r="N291" s="245"/>
      <c r="O291" s="245"/>
      <c r="P291" s="245"/>
      <c r="Q291" s="245"/>
      <c r="R291" s="245"/>
      <c r="S291" s="245"/>
      <c r="T291" s="245"/>
      <c r="U291" s="245"/>
      <c r="V291" s="245"/>
      <c r="W291" s="245"/>
      <c r="X291" s="245"/>
      <c r="Y291" s="245"/>
      <c r="Z291" s="245"/>
      <c r="AA291" s="245"/>
      <c r="AB291" s="245"/>
    </row>
    <row r="292" spans="1:28" ht="18" customHeight="1">
      <c r="A292" s="245"/>
      <c r="B292" s="246"/>
      <c r="C292" s="1044" t="s">
        <v>1654</v>
      </c>
      <c r="D292" s="1045"/>
      <c r="E292" s="1045"/>
      <c r="F292" s="1045"/>
      <c r="G292" s="1046"/>
      <c r="H292" s="447" t="s">
        <v>1393</v>
      </c>
      <c r="I292" s="448" t="s">
        <v>1394</v>
      </c>
      <c r="J292" s="449" t="s">
        <v>1395</v>
      </c>
      <c r="K292" s="245"/>
      <c r="L292" s="245"/>
      <c r="M292" s="245"/>
      <c r="N292" s="245"/>
      <c r="O292" s="245"/>
      <c r="P292" s="245"/>
      <c r="Q292" s="245"/>
      <c r="R292" s="245"/>
      <c r="S292" s="245"/>
      <c r="T292" s="245"/>
      <c r="U292" s="245"/>
      <c r="V292" s="245"/>
      <c r="W292" s="245"/>
      <c r="X292" s="245"/>
      <c r="Y292" s="245"/>
      <c r="Z292" s="245"/>
      <c r="AA292" s="245"/>
      <c r="AB292" s="245"/>
    </row>
    <row r="293" spans="1:28" ht="18" customHeight="1" thickBot="1">
      <c r="A293" s="245"/>
      <c r="B293" s="246"/>
      <c r="C293" s="1049"/>
      <c r="D293" s="1050"/>
      <c r="E293" s="1050"/>
      <c r="F293" s="1050"/>
      <c r="G293" s="1051"/>
      <c r="H293" s="450" t="s">
        <v>1655</v>
      </c>
      <c r="I293" s="451" t="s">
        <v>1656</v>
      </c>
      <c r="J293" s="452" t="s">
        <v>1657</v>
      </c>
      <c r="K293" s="245"/>
      <c r="L293" s="245"/>
      <c r="M293" s="245"/>
      <c r="N293" s="245"/>
      <c r="O293" s="245"/>
      <c r="P293" s="245"/>
      <c r="Q293" s="245"/>
      <c r="R293" s="245"/>
      <c r="S293" s="245"/>
      <c r="T293" s="245"/>
      <c r="U293" s="245"/>
      <c r="V293" s="245"/>
      <c r="W293" s="245"/>
      <c r="X293" s="245"/>
      <c r="Y293" s="245"/>
      <c r="Z293" s="245"/>
      <c r="AA293" s="245"/>
      <c r="AB293" s="245"/>
    </row>
    <row r="294" spans="1:28" ht="14.1" customHeight="1">
      <c r="A294" s="245"/>
      <c r="B294" s="246"/>
      <c r="C294" s="431" t="s">
        <v>1658</v>
      </c>
      <c r="D294" s="453"/>
      <c r="E294" s="453"/>
      <c r="F294" s="453"/>
      <c r="G294" s="454"/>
      <c r="H294" s="455">
        <v>1284.72</v>
      </c>
      <c r="I294" s="456">
        <v>2.7109999999999999E-2</v>
      </c>
      <c r="J294" s="457">
        <v>7.4400000000000004E-3</v>
      </c>
      <c r="K294" s="245"/>
      <c r="L294" s="245"/>
      <c r="M294" s="245"/>
      <c r="N294" s="245"/>
      <c r="O294" s="245"/>
      <c r="P294" s="245"/>
      <c r="Q294" s="245"/>
      <c r="R294" s="245"/>
      <c r="S294" s="245"/>
      <c r="T294" s="245"/>
      <c r="U294" s="245"/>
      <c r="V294" s="245"/>
      <c r="W294" s="245"/>
      <c r="X294" s="245"/>
      <c r="Y294" s="245"/>
      <c r="Z294" s="245"/>
      <c r="AA294" s="245"/>
      <c r="AB294" s="245"/>
    </row>
    <row r="295" spans="1:28" ht="14.1" customHeight="1">
      <c r="A295" s="245"/>
      <c r="B295" s="246"/>
      <c r="C295" s="433" t="s">
        <v>1659</v>
      </c>
      <c r="D295" s="458"/>
      <c r="E295" s="458"/>
      <c r="F295" s="458"/>
      <c r="G295" s="408"/>
      <c r="H295" s="459">
        <v>535.73</v>
      </c>
      <c r="I295" s="308">
        <v>2.265E-2</v>
      </c>
      <c r="J295" s="460">
        <v>4.4799999999999996E-3</v>
      </c>
      <c r="K295" s="245"/>
      <c r="L295" s="245"/>
      <c r="M295" s="245"/>
      <c r="N295" s="245"/>
      <c r="O295" s="245"/>
      <c r="P295" s="245"/>
      <c r="Q295" s="245"/>
      <c r="R295" s="245"/>
      <c r="S295" s="245"/>
      <c r="T295" s="245"/>
      <c r="U295" s="245"/>
      <c r="V295" s="245"/>
      <c r="W295" s="245"/>
      <c r="X295" s="245"/>
      <c r="Y295" s="245"/>
      <c r="Z295" s="245"/>
      <c r="AA295" s="245"/>
      <c r="AB295" s="245"/>
    </row>
    <row r="296" spans="1:28" ht="14.1" customHeight="1">
      <c r="A296" s="245"/>
      <c r="B296" s="246"/>
      <c r="C296" s="433" t="s">
        <v>1660</v>
      </c>
      <c r="D296" s="458"/>
      <c r="E296" s="458"/>
      <c r="F296" s="458"/>
      <c r="G296" s="408"/>
      <c r="H296" s="459">
        <v>1252.6099999999999</v>
      </c>
      <c r="I296" s="308">
        <v>1.8800000000000001E-2</v>
      </c>
      <c r="J296" s="460">
        <v>1.6570000000000001E-2</v>
      </c>
      <c r="K296" s="245"/>
      <c r="L296" s="245"/>
      <c r="M296" s="245"/>
      <c r="N296" s="245"/>
      <c r="O296" s="245"/>
      <c r="P296" s="245"/>
      <c r="Q296" s="245"/>
      <c r="R296" s="245"/>
      <c r="S296" s="245"/>
      <c r="T296" s="245"/>
      <c r="U296" s="245"/>
      <c r="V296" s="245"/>
      <c r="W296" s="245"/>
      <c r="X296" s="245"/>
      <c r="Y296" s="245"/>
      <c r="Z296" s="245"/>
      <c r="AA296" s="245"/>
      <c r="AB296" s="245"/>
    </row>
    <row r="297" spans="1:28" ht="14.1" customHeight="1">
      <c r="A297" s="245"/>
      <c r="B297" s="246"/>
      <c r="C297" s="433" t="s">
        <v>1661</v>
      </c>
      <c r="D297" s="458"/>
      <c r="E297" s="458"/>
      <c r="F297" s="458"/>
      <c r="G297" s="408"/>
      <c r="H297" s="459">
        <v>681.01</v>
      </c>
      <c r="I297" s="308">
        <v>2.8289999999999999E-2</v>
      </c>
      <c r="J297" s="460">
        <v>6.2300000000000003E-3</v>
      </c>
      <c r="K297" s="245"/>
      <c r="L297" s="245"/>
      <c r="M297" s="245"/>
      <c r="N297" s="245"/>
      <c r="O297" s="245"/>
      <c r="P297" s="245"/>
      <c r="Q297" s="245"/>
      <c r="R297" s="245"/>
      <c r="S297" s="245"/>
      <c r="T297" s="245"/>
      <c r="U297" s="245"/>
      <c r="V297" s="245"/>
      <c r="W297" s="245"/>
      <c r="X297" s="245"/>
      <c r="Y297" s="245"/>
      <c r="Z297" s="245"/>
      <c r="AA297" s="245"/>
      <c r="AB297" s="245"/>
    </row>
    <row r="298" spans="1:28" ht="14.1" customHeight="1">
      <c r="A298" s="245"/>
      <c r="B298" s="246"/>
      <c r="C298" s="433" t="s">
        <v>1662</v>
      </c>
      <c r="D298" s="458"/>
      <c r="E298" s="458"/>
      <c r="F298" s="458"/>
      <c r="G298" s="408"/>
      <c r="H298" s="459">
        <v>1252.57</v>
      </c>
      <c r="I298" s="308">
        <v>1.7760000000000001E-2</v>
      </c>
      <c r="J298" s="460">
        <v>1.3990000000000001E-2</v>
      </c>
      <c r="K298" s="245"/>
      <c r="L298" s="245"/>
      <c r="M298" s="245"/>
      <c r="N298" s="245"/>
      <c r="O298" s="245"/>
      <c r="P298" s="245"/>
      <c r="Q298" s="245"/>
      <c r="R298" s="245"/>
      <c r="S298" s="245"/>
      <c r="T298" s="245"/>
      <c r="U298" s="245"/>
      <c r="V298" s="245"/>
      <c r="W298" s="245"/>
      <c r="X298" s="245"/>
      <c r="Y298" s="245"/>
      <c r="Z298" s="245"/>
      <c r="AA298" s="245"/>
      <c r="AB298" s="245"/>
    </row>
    <row r="299" spans="1:28" ht="14.1" customHeight="1">
      <c r="A299" s="245"/>
      <c r="B299" s="246"/>
      <c r="C299" s="433" t="s">
        <v>1663</v>
      </c>
      <c r="D299" s="458"/>
      <c r="E299" s="458"/>
      <c r="F299" s="458"/>
      <c r="G299" s="408"/>
      <c r="H299" s="459">
        <v>1220.1099999999999</v>
      </c>
      <c r="I299" s="308">
        <v>4.1189999999999997E-2</v>
      </c>
      <c r="J299" s="460">
        <v>1.525E-2</v>
      </c>
      <c r="K299" s="245"/>
      <c r="L299" s="245"/>
      <c r="M299" s="245"/>
      <c r="N299" s="245"/>
      <c r="O299" s="245"/>
      <c r="P299" s="245"/>
      <c r="Q299" s="245"/>
      <c r="R299" s="245"/>
      <c r="S299" s="245"/>
      <c r="T299" s="245"/>
      <c r="U299" s="245"/>
      <c r="V299" s="245"/>
      <c r="W299" s="245"/>
      <c r="X299" s="245"/>
      <c r="Y299" s="245"/>
      <c r="Z299" s="245"/>
      <c r="AA299" s="245"/>
      <c r="AB299" s="245"/>
    </row>
    <row r="300" spans="1:28" ht="14.1" customHeight="1">
      <c r="A300" s="245"/>
      <c r="B300" s="246"/>
      <c r="C300" s="433" t="s">
        <v>1664</v>
      </c>
      <c r="D300" s="458"/>
      <c r="E300" s="458"/>
      <c r="F300" s="458"/>
      <c r="G300" s="408"/>
      <c r="H300" s="459">
        <v>1343.82</v>
      </c>
      <c r="I300" s="308">
        <v>0.13514999999999999</v>
      </c>
      <c r="J300" s="460">
        <v>2.171E-2</v>
      </c>
      <c r="K300" s="245"/>
      <c r="L300" s="245"/>
      <c r="M300" s="245"/>
      <c r="N300" s="245"/>
      <c r="O300" s="245"/>
      <c r="P300" s="245"/>
      <c r="Q300" s="245"/>
      <c r="R300" s="245"/>
      <c r="S300" s="245"/>
      <c r="T300" s="245"/>
      <c r="U300" s="245"/>
      <c r="V300" s="245"/>
      <c r="W300" s="245"/>
      <c r="X300" s="245"/>
      <c r="Y300" s="245"/>
      <c r="Z300" s="245"/>
      <c r="AA300" s="245"/>
      <c r="AB300" s="245"/>
    </row>
    <row r="301" spans="1:28" ht="14.1" customHeight="1">
      <c r="A301" s="245"/>
      <c r="B301" s="246"/>
      <c r="C301" s="433" t="s">
        <v>1665</v>
      </c>
      <c r="D301" s="458"/>
      <c r="E301" s="458"/>
      <c r="F301" s="458"/>
      <c r="G301" s="408"/>
      <c r="H301" s="459">
        <v>1620.76</v>
      </c>
      <c r="I301" s="308">
        <v>9.1050000000000006E-2</v>
      </c>
      <c r="J301" s="460">
        <v>2.0889999999999999E-2</v>
      </c>
      <c r="K301" s="245"/>
      <c r="L301" s="245"/>
      <c r="M301" s="245"/>
      <c r="N301" s="245"/>
      <c r="O301" s="245"/>
      <c r="P301" s="245"/>
      <c r="Q301" s="245"/>
      <c r="R301" s="245"/>
      <c r="S301" s="245"/>
      <c r="T301" s="245"/>
      <c r="U301" s="245"/>
      <c r="V301" s="245"/>
      <c r="W301" s="245"/>
      <c r="X301" s="245"/>
      <c r="Y301" s="245"/>
      <c r="Z301" s="245"/>
      <c r="AA301" s="245"/>
      <c r="AB301" s="245"/>
    </row>
    <row r="302" spans="1:28" ht="14.1" customHeight="1">
      <c r="A302" s="245"/>
      <c r="B302" s="246"/>
      <c r="C302" s="433" t="s">
        <v>1666</v>
      </c>
      <c r="D302" s="458"/>
      <c r="E302" s="458"/>
      <c r="F302" s="458"/>
      <c r="G302" s="408"/>
      <c r="H302" s="459">
        <v>1692.32</v>
      </c>
      <c r="I302" s="308">
        <v>2.879E-2</v>
      </c>
      <c r="J302" s="460">
        <v>2.9049999999999999E-2</v>
      </c>
      <c r="K302" s="245"/>
      <c r="L302" s="245"/>
      <c r="M302" s="245"/>
      <c r="N302" s="245"/>
      <c r="O302" s="245"/>
      <c r="P302" s="245"/>
      <c r="Q302" s="245"/>
      <c r="R302" s="245"/>
      <c r="S302" s="245"/>
      <c r="T302" s="245"/>
      <c r="U302" s="245"/>
      <c r="V302" s="245"/>
      <c r="W302" s="245"/>
      <c r="X302" s="245"/>
      <c r="Y302" s="245"/>
      <c r="Z302" s="245"/>
      <c r="AA302" s="245"/>
      <c r="AB302" s="245"/>
    </row>
    <row r="303" spans="1:28" ht="14.1" customHeight="1">
      <c r="A303" s="245"/>
      <c r="B303" s="246"/>
      <c r="C303" s="433" t="s">
        <v>1667</v>
      </c>
      <c r="D303" s="458"/>
      <c r="E303" s="458"/>
      <c r="F303" s="458"/>
      <c r="G303" s="408"/>
      <c r="H303" s="459">
        <v>1722.67</v>
      </c>
      <c r="I303" s="308">
        <v>2.8969999999999999E-2</v>
      </c>
      <c r="J303" s="460">
        <v>2.9190000000000001E-2</v>
      </c>
      <c r="K303" s="245"/>
      <c r="L303" s="245"/>
      <c r="M303" s="245"/>
      <c r="N303" s="245"/>
      <c r="O303" s="245"/>
      <c r="P303" s="245"/>
      <c r="Q303" s="245"/>
      <c r="R303" s="245"/>
      <c r="S303" s="245"/>
      <c r="T303" s="245"/>
      <c r="U303" s="245"/>
      <c r="V303" s="245"/>
      <c r="W303" s="245"/>
      <c r="X303" s="245"/>
      <c r="Y303" s="245"/>
      <c r="Z303" s="245"/>
      <c r="AA303" s="245"/>
      <c r="AB303" s="245"/>
    </row>
    <row r="304" spans="1:28" ht="14.1" customHeight="1">
      <c r="A304" s="245"/>
      <c r="B304" s="246"/>
      <c r="C304" s="433" t="s">
        <v>1668</v>
      </c>
      <c r="D304" s="458"/>
      <c r="E304" s="458"/>
      <c r="F304" s="458"/>
      <c r="G304" s="408"/>
      <c r="H304" s="459">
        <v>827.95</v>
      </c>
      <c r="I304" s="308">
        <v>7.6980000000000007E-2</v>
      </c>
      <c r="J304" s="460">
        <v>1.52E-2</v>
      </c>
      <c r="K304" s="245"/>
      <c r="L304" s="245"/>
      <c r="M304" s="245"/>
      <c r="N304" s="245"/>
      <c r="O304" s="245"/>
      <c r="P304" s="245"/>
      <c r="Q304" s="245"/>
      <c r="R304" s="245"/>
      <c r="S304" s="245"/>
      <c r="T304" s="245"/>
      <c r="U304" s="245"/>
      <c r="V304" s="245"/>
      <c r="W304" s="245"/>
      <c r="X304" s="245"/>
      <c r="Y304" s="245"/>
      <c r="Z304" s="245"/>
      <c r="AA304" s="245"/>
      <c r="AB304" s="245"/>
    </row>
    <row r="305" spans="1:28" ht="14.1" customHeight="1">
      <c r="A305" s="245"/>
      <c r="B305" s="246"/>
      <c r="C305" s="433" t="s">
        <v>1669</v>
      </c>
      <c r="D305" s="458"/>
      <c r="E305" s="458"/>
      <c r="F305" s="458"/>
      <c r="G305" s="408"/>
      <c r="H305" s="459">
        <v>858.79</v>
      </c>
      <c r="I305" s="308">
        <v>1.634E-2</v>
      </c>
      <c r="J305" s="460">
        <v>1.3639999999999999E-2</v>
      </c>
      <c r="K305" s="245"/>
      <c r="L305" s="245"/>
      <c r="M305" s="245"/>
      <c r="N305" s="245"/>
      <c r="O305" s="245"/>
      <c r="P305" s="245"/>
      <c r="Q305" s="245"/>
      <c r="R305" s="245"/>
      <c r="S305" s="245"/>
      <c r="T305" s="245"/>
      <c r="U305" s="245"/>
      <c r="V305" s="245"/>
      <c r="W305" s="245"/>
      <c r="X305" s="245"/>
      <c r="Y305" s="245"/>
      <c r="Z305" s="245"/>
      <c r="AA305" s="245"/>
      <c r="AB305" s="245"/>
    </row>
    <row r="306" spans="1:28" ht="14.1" customHeight="1">
      <c r="A306" s="245"/>
      <c r="B306" s="246"/>
      <c r="C306" s="433" t="s">
        <v>1670</v>
      </c>
      <c r="D306" s="458"/>
      <c r="E306" s="458"/>
      <c r="F306" s="458"/>
      <c r="G306" s="408"/>
      <c r="H306" s="459">
        <v>704.8</v>
      </c>
      <c r="I306" s="308">
        <v>2.622E-2</v>
      </c>
      <c r="J306" s="460">
        <v>3.3500000000000001E-3</v>
      </c>
      <c r="K306" s="245"/>
      <c r="L306" s="245"/>
      <c r="M306" s="245"/>
      <c r="N306" s="245"/>
      <c r="O306" s="245"/>
      <c r="P306" s="245"/>
      <c r="Q306" s="245"/>
      <c r="R306" s="245"/>
      <c r="S306" s="245"/>
      <c r="T306" s="245"/>
      <c r="U306" s="245"/>
      <c r="V306" s="245"/>
      <c r="W306" s="245"/>
      <c r="X306" s="245"/>
      <c r="Y306" s="245"/>
      <c r="Z306" s="245"/>
      <c r="AA306" s="245"/>
      <c r="AB306" s="245"/>
    </row>
    <row r="307" spans="1:28" ht="14.1" customHeight="1">
      <c r="A307" s="245"/>
      <c r="B307" s="246"/>
      <c r="C307" s="433" t="s">
        <v>1671</v>
      </c>
      <c r="D307" s="458"/>
      <c r="E307" s="458"/>
      <c r="F307" s="458"/>
      <c r="G307" s="408"/>
      <c r="H307" s="459">
        <v>1418.74</v>
      </c>
      <c r="I307" s="308">
        <v>9.0499999999999997E-2</v>
      </c>
      <c r="J307" s="460">
        <v>1.3100000000000001E-2</v>
      </c>
      <c r="K307" s="245"/>
      <c r="L307" s="245"/>
      <c r="M307" s="245"/>
      <c r="N307" s="245"/>
      <c r="O307" s="245"/>
      <c r="P307" s="245"/>
      <c r="Q307" s="245"/>
      <c r="R307" s="245"/>
      <c r="S307" s="245"/>
      <c r="T307" s="245"/>
      <c r="U307" s="245"/>
      <c r="V307" s="245"/>
      <c r="W307" s="245"/>
      <c r="X307" s="245"/>
      <c r="Y307" s="245"/>
      <c r="Z307" s="245"/>
      <c r="AA307" s="245"/>
      <c r="AB307" s="245"/>
    </row>
    <row r="308" spans="1:28" ht="14.1" customHeight="1">
      <c r="A308" s="245"/>
      <c r="B308" s="246"/>
      <c r="C308" s="433" t="s">
        <v>1672</v>
      </c>
      <c r="D308" s="458"/>
      <c r="E308" s="458"/>
      <c r="F308" s="458"/>
      <c r="G308" s="408"/>
      <c r="H308" s="459">
        <v>683.27</v>
      </c>
      <c r="I308" s="308">
        <v>1.7409999999999998E-2</v>
      </c>
      <c r="J308" s="460">
        <v>9.9000000000000008E-3</v>
      </c>
      <c r="K308" s="245"/>
      <c r="L308" s="245"/>
      <c r="M308" s="245"/>
      <c r="N308" s="245"/>
      <c r="O308" s="245"/>
      <c r="P308" s="245"/>
      <c r="Q308" s="245"/>
      <c r="R308" s="245"/>
      <c r="S308" s="245"/>
      <c r="T308" s="245"/>
      <c r="U308" s="245"/>
      <c r="V308" s="245"/>
      <c r="W308" s="245"/>
      <c r="X308" s="245"/>
      <c r="Y308" s="245"/>
      <c r="Z308" s="245"/>
      <c r="AA308" s="245"/>
      <c r="AB308" s="245"/>
    </row>
    <row r="309" spans="1:28" ht="14.1" customHeight="1">
      <c r="A309" s="245"/>
      <c r="B309" s="246"/>
      <c r="C309" s="433" t="s">
        <v>1673</v>
      </c>
      <c r="D309" s="458"/>
      <c r="E309" s="458"/>
      <c r="F309" s="458"/>
      <c r="G309" s="408"/>
      <c r="H309" s="459">
        <v>1059.32</v>
      </c>
      <c r="I309" s="308">
        <v>2.7400000000000001E-2</v>
      </c>
      <c r="J309" s="460">
        <v>1.703E-2</v>
      </c>
      <c r="K309" s="245"/>
      <c r="L309" s="245"/>
      <c r="M309" s="245"/>
      <c r="N309" s="245"/>
      <c r="O309" s="245"/>
      <c r="P309" s="245"/>
      <c r="Q309" s="245"/>
      <c r="R309" s="245"/>
      <c r="S309" s="245"/>
      <c r="T309" s="245"/>
      <c r="U309" s="245"/>
      <c r="V309" s="245"/>
      <c r="W309" s="245"/>
      <c r="X309" s="245"/>
      <c r="Y309" s="245"/>
      <c r="Z309" s="245"/>
      <c r="AA309" s="245"/>
      <c r="AB309" s="245"/>
    </row>
    <row r="310" spans="1:28" ht="14.1" customHeight="1">
      <c r="A310" s="245"/>
      <c r="B310" s="246"/>
      <c r="C310" s="433" t="s">
        <v>1674</v>
      </c>
      <c r="D310" s="458"/>
      <c r="E310" s="458"/>
      <c r="F310" s="458"/>
      <c r="G310" s="408"/>
      <c r="H310" s="459">
        <v>1651.11</v>
      </c>
      <c r="I310" s="308">
        <v>3.2550000000000003E-2</v>
      </c>
      <c r="J310" s="460">
        <v>2.7789999999999999E-2</v>
      </c>
      <c r="K310" s="245"/>
      <c r="L310" s="245"/>
      <c r="M310" s="245"/>
      <c r="N310" s="245"/>
      <c r="O310" s="245"/>
      <c r="P310" s="245"/>
      <c r="Q310" s="245"/>
      <c r="R310" s="245"/>
      <c r="S310" s="245"/>
      <c r="T310" s="245"/>
      <c r="U310" s="245"/>
      <c r="V310" s="245"/>
      <c r="W310" s="245"/>
      <c r="X310" s="245"/>
      <c r="Y310" s="245"/>
      <c r="Z310" s="245"/>
      <c r="AA310" s="245"/>
      <c r="AB310" s="245"/>
    </row>
    <row r="311" spans="1:28" ht="14.1" customHeight="1">
      <c r="A311" s="245"/>
      <c r="B311" s="246"/>
      <c r="C311" s="433" t="s">
        <v>1675</v>
      </c>
      <c r="D311" s="458"/>
      <c r="E311" s="458"/>
      <c r="F311" s="458"/>
      <c r="G311" s="408"/>
      <c r="H311" s="459">
        <v>1551.52</v>
      </c>
      <c r="I311" s="308">
        <v>1.8370000000000001E-2</v>
      </c>
      <c r="J311" s="460">
        <v>2.5930000000000002E-2</v>
      </c>
      <c r="K311" s="245"/>
      <c r="L311" s="245"/>
      <c r="M311" s="245"/>
      <c r="N311" s="245"/>
      <c r="O311" s="245"/>
      <c r="P311" s="245"/>
      <c r="Q311" s="245"/>
      <c r="R311" s="245"/>
      <c r="S311" s="245"/>
      <c r="T311" s="245"/>
      <c r="U311" s="245"/>
      <c r="V311" s="245"/>
      <c r="W311" s="245"/>
      <c r="X311" s="245"/>
      <c r="Y311" s="245"/>
      <c r="Z311" s="245"/>
      <c r="AA311" s="245"/>
      <c r="AB311" s="245"/>
    </row>
    <row r="312" spans="1:28" ht="14.1" customHeight="1">
      <c r="A312" s="245"/>
      <c r="B312" s="246"/>
      <c r="C312" s="433" t="s">
        <v>1676</v>
      </c>
      <c r="D312" s="458"/>
      <c r="E312" s="458"/>
      <c r="F312" s="458"/>
      <c r="G312" s="408"/>
      <c r="H312" s="459">
        <v>1906.06</v>
      </c>
      <c r="I312" s="308">
        <v>2.3630000000000002E-2</v>
      </c>
      <c r="J312" s="460">
        <v>2.8889999999999999E-2</v>
      </c>
      <c r="K312" s="245"/>
      <c r="L312" s="245"/>
      <c r="M312" s="245"/>
      <c r="N312" s="245"/>
      <c r="O312" s="245"/>
      <c r="P312" s="245"/>
      <c r="Q312" s="245"/>
      <c r="R312" s="245"/>
      <c r="S312" s="245"/>
      <c r="T312" s="245"/>
      <c r="U312" s="245"/>
      <c r="V312" s="245"/>
      <c r="W312" s="245"/>
      <c r="X312" s="245"/>
      <c r="Y312" s="245"/>
      <c r="Z312" s="245"/>
      <c r="AA312" s="245"/>
      <c r="AB312" s="245"/>
    </row>
    <row r="313" spans="1:28" ht="14.1" customHeight="1">
      <c r="A313" s="245"/>
      <c r="B313" s="246"/>
      <c r="C313" s="433" t="s">
        <v>1677</v>
      </c>
      <c r="D313" s="458"/>
      <c r="E313" s="458"/>
      <c r="F313" s="458"/>
      <c r="G313" s="408"/>
      <c r="H313" s="459">
        <v>1798.71</v>
      </c>
      <c r="I313" s="308">
        <v>2.1219999999999999E-2</v>
      </c>
      <c r="J313" s="460">
        <v>2.92E-2</v>
      </c>
      <c r="K313" s="245"/>
      <c r="L313" s="245"/>
      <c r="M313" s="245"/>
      <c r="N313" s="245"/>
      <c r="O313" s="245"/>
      <c r="P313" s="245"/>
      <c r="Q313" s="245"/>
      <c r="R313" s="245"/>
      <c r="S313" s="245"/>
      <c r="T313" s="245"/>
      <c r="U313" s="245"/>
      <c r="V313" s="245"/>
      <c r="W313" s="245"/>
      <c r="X313" s="245"/>
      <c r="Y313" s="245"/>
      <c r="Z313" s="245"/>
      <c r="AA313" s="245"/>
      <c r="AB313" s="245"/>
    </row>
    <row r="314" spans="1:28" ht="14.1" customHeight="1">
      <c r="A314" s="245"/>
      <c r="B314" s="246"/>
      <c r="C314" s="433" t="s">
        <v>1678</v>
      </c>
      <c r="D314" s="458"/>
      <c r="E314" s="458"/>
      <c r="F314" s="458"/>
      <c r="G314" s="408"/>
      <c r="H314" s="459">
        <v>1624.03</v>
      </c>
      <c r="I314" s="308">
        <v>2.452E-2</v>
      </c>
      <c r="J314" s="460">
        <v>2.2419999999999999E-2</v>
      </c>
      <c r="K314" s="245"/>
      <c r="L314" s="245"/>
      <c r="M314" s="245"/>
      <c r="N314" s="245"/>
      <c r="O314" s="245"/>
      <c r="P314" s="245"/>
      <c r="Q314" s="245"/>
      <c r="R314" s="245"/>
      <c r="S314" s="245"/>
      <c r="T314" s="245"/>
      <c r="U314" s="245"/>
      <c r="V314" s="245"/>
      <c r="W314" s="245"/>
      <c r="X314" s="245"/>
      <c r="Y314" s="245"/>
      <c r="Z314" s="245"/>
      <c r="AA314" s="245"/>
      <c r="AB314" s="245"/>
    </row>
    <row r="315" spans="1:28" ht="14.1" customHeight="1">
      <c r="A315" s="245"/>
      <c r="B315" s="246"/>
      <c r="C315" s="433" t="s">
        <v>1679</v>
      </c>
      <c r="D315" s="458"/>
      <c r="E315" s="458"/>
      <c r="F315" s="458"/>
      <c r="G315" s="408"/>
      <c r="H315" s="459">
        <v>1004.1</v>
      </c>
      <c r="I315" s="308">
        <v>2.18E-2</v>
      </c>
      <c r="J315" s="460">
        <v>1.115E-2</v>
      </c>
      <c r="K315" s="245"/>
      <c r="L315" s="245"/>
      <c r="M315" s="245"/>
      <c r="N315" s="245"/>
      <c r="O315" s="245"/>
      <c r="P315" s="245"/>
      <c r="Q315" s="245"/>
      <c r="R315" s="245"/>
      <c r="S315" s="245"/>
      <c r="T315" s="245"/>
      <c r="U315" s="245"/>
      <c r="V315" s="245"/>
      <c r="W315" s="245"/>
      <c r="X315" s="245"/>
      <c r="Y315" s="245"/>
      <c r="Z315" s="245"/>
      <c r="AA315" s="245"/>
      <c r="AB315" s="245"/>
    </row>
    <row r="316" spans="1:28" ht="14.1" customHeight="1">
      <c r="A316" s="245"/>
      <c r="B316" s="246"/>
      <c r="C316" s="433" t="s">
        <v>1680</v>
      </c>
      <c r="D316" s="458"/>
      <c r="E316" s="458"/>
      <c r="F316" s="458"/>
      <c r="G316" s="408"/>
      <c r="H316" s="459">
        <v>1779.27</v>
      </c>
      <c r="I316" s="308">
        <v>2.0570000000000001E-2</v>
      </c>
      <c r="J316" s="460">
        <v>2.9600000000000001E-2</v>
      </c>
      <c r="K316" s="245"/>
      <c r="L316" s="245"/>
      <c r="M316" s="245"/>
      <c r="N316" s="245"/>
      <c r="O316" s="245"/>
      <c r="P316" s="245"/>
      <c r="Q316" s="245"/>
      <c r="R316" s="245"/>
      <c r="S316" s="245"/>
      <c r="T316" s="245"/>
      <c r="U316" s="245"/>
      <c r="V316" s="245"/>
      <c r="W316" s="245"/>
      <c r="X316" s="245"/>
      <c r="Y316" s="245"/>
      <c r="Z316" s="245"/>
      <c r="AA316" s="245"/>
      <c r="AB316" s="245"/>
    </row>
    <row r="317" spans="1:28" ht="14.1" customHeight="1">
      <c r="A317" s="245"/>
      <c r="B317" s="246"/>
      <c r="C317" s="433" t="s">
        <v>1681</v>
      </c>
      <c r="D317" s="458"/>
      <c r="E317" s="458"/>
      <c r="F317" s="458"/>
      <c r="G317" s="408"/>
      <c r="H317" s="459">
        <v>1495.47</v>
      </c>
      <c r="I317" s="308">
        <v>2.3640000000000001E-2</v>
      </c>
      <c r="J317" s="460">
        <v>2.4570000000000002E-2</v>
      </c>
      <c r="K317" s="245"/>
      <c r="L317" s="245"/>
      <c r="M317" s="245"/>
      <c r="N317" s="245"/>
      <c r="O317" s="245"/>
      <c r="P317" s="245"/>
      <c r="Q317" s="245"/>
      <c r="R317" s="245"/>
      <c r="S317" s="245"/>
      <c r="T317" s="245"/>
      <c r="U317" s="245"/>
      <c r="V317" s="245"/>
      <c r="W317" s="245"/>
      <c r="X317" s="245"/>
      <c r="Y317" s="245"/>
      <c r="Z317" s="245"/>
      <c r="AA317" s="245"/>
      <c r="AB317" s="245"/>
    </row>
    <row r="318" spans="1:28" ht="14.1" customHeight="1">
      <c r="A318" s="245"/>
      <c r="B318" s="246"/>
      <c r="C318" s="433" t="s">
        <v>1682</v>
      </c>
      <c r="D318" s="458"/>
      <c r="E318" s="458"/>
      <c r="F318" s="458"/>
      <c r="G318" s="408"/>
      <c r="H318" s="459">
        <v>1540.85</v>
      </c>
      <c r="I318" s="308">
        <v>1.9869999999999999E-2</v>
      </c>
      <c r="J318" s="460">
        <v>2.5479999999999999E-2</v>
      </c>
      <c r="K318" s="245"/>
      <c r="L318" s="245"/>
      <c r="M318" s="245"/>
      <c r="N318" s="245"/>
      <c r="O318" s="245"/>
      <c r="P318" s="245"/>
      <c r="Q318" s="245"/>
      <c r="R318" s="245"/>
      <c r="S318" s="245"/>
      <c r="T318" s="245"/>
      <c r="U318" s="245"/>
      <c r="V318" s="245"/>
      <c r="W318" s="245"/>
      <c r="X318" s="245"/>
      <c r="Y318" s="245"/>
      <c r="Z318" s="245"/>
      <c r="AA318" s="245"/>
      <c r="AB318" s="245"/>
    </row>
    <row r="319" spans="1:28" ht="14.1" customHeight="1" thickBot="1">
      <c r="A319" s="245"/>
      <c r="B319" s="246"/>
      <c r="C319" s="461" t="s">
        <v>1683</v>
      </c>
      <c r="D319" s="462"/>
      <c r="E319" s="462"/>
      <c r="F319" s="462"/>
      <c r="G319" s="463"/>
      <c r="H319" s="464">
        <v>1118.4100000000001</v>
      </c>
      <c r="I319" s="465">
        <v>2.2259999999999999E-2</v>
      </c>
      <c r="J319" s="466">
        <v>1.908E-2</v>
      </c>
      <c r="K319" s="245"/>
      <c r="L319" s="245"/>
      <c r="M319" s="245"/>
      <c r="N319" s="245"/>
      <c r="O319" s="245"/>
      <c r="P319" s="245"/>
      <c r="Q319" s="245"/>
      <c r="R319" s="245"/>
      <c r="S319" s="245"/>
      <c r="T319" s="245"/>
      <c r="U319" s="245"/>
      <c r="V319" s="245"/>
      <c r="W319" s="245"/>
      <c r="X319" s="245"/>
      <c r="Y319" s="245"/>
      <c r="Z319" s="245"/>
      <c r="AA319" s="245"/>
      <c r="AB319" s="245"/>
    </row>
    <row r="320" spans="1:28" ht="23.25" customHeight="1">
      <c r="A320" s="245"/>
      <c r="B320" s="246"/>
      <c r="C320" s="1047" t="s">
        <v>1684</v>
      </c>
      <c r="D320" s="1047"/>
      <c r="E320" s="1047"/>
      <c r="F320" s="1047"/>
      <c r="G320" s="245"/>
      <c r="H320" s="245"/>
      <c r="I320" s="245"/>
      <c r="J320" s="245"/>
      <c r="K320" s="245"/>
      <c r="L320" s="245"/>
      <c r="M320" s="245"/>
      <c r="N320" s="245"/>
      <c r="O320" s="245"/>
      <c r="P320" s="245"/>
      <c r="Q320" s="245"/>
      <c r="R320" s="245"/>
      <c r="S320" s="245"/>
      <c r="T320" s="245"/>
      <c r="U320" s="245"/>
      <c r="V320" s="245"/>
      <c r="W320" s="245"/>
      <c r="X320" s="245"/>
      <c r="Y320" s="245"/>
      <c r="Z320" s="245"/>
      <c r="AA320" s="245"/>
      <c r="AB320" s="245"/>
    </row>
    <row r="321" spans="1:28" ht="14.1" customHeight="1">
      <c r="A321" s="245"/>
      <c r="B321" s="246"/>
      <c r="C321" s="467"/>
      <c r="D321" s="467"/>
      <c r="E321" s="467"/>
      <c r="F321" s="245"/>
      <c r="G321" s="245"/>
      <c r="H321" s="245"/>
      <c r="I321" s="245"/>
      <c r="J321" s="245"/>
      <c r="K321" s="245"/>
      <c r="L321" s="245"/>
      <c r="M321" s="245"/>
      <c r="N321" s="245"/>
      <c r="O321" s="245"/>
      <c r="P321" s="245"/>
      <c r="Q321" s="245"/>
      <c r="R321" s="245"/>
      <c r="S321" s="245"/>
      <c r="T321" s="245"/>
      <c r="U321" s="245"/>
      <c r="V321" s="245"/>
      <c r="W321" s="245"/>
      <c r="X321" s="245"/>
      <c r="Y321" s="245"/>
      <c r="Z321" s="245"/>
      <c r="AA321" s="245"/>
      <c r="AB321" s="245"/>
    </row>
    <row r="322" spans="1:28" ht="14.1" customHeight="1">
      <c r="A322" s="245"/>
      <c r="B322" s="246"/>
      <c r="C322" s="467"/>
      <c r="D322" s="467"/>
      <c r="E322" s="467"/>
      <c r="F322" s="245"/>
      <c r="G322" s="245"/>
      <c r="H322" s="245"/>
      <c r="I322" s="245"/>
      <c r="J322" s="245"/>
      <c r="K322" s="245"/>
      <c r="L322" s="245"/>
      <c r="M322" s="245"/>
      <c r="N322" s="245"/>
      <c r="O322" s="245"/>
      <c r="P322" s="245"/>
      <c r="Q322" s="245"/>
      <c r="R322" s="245"/>
      <c r="S322" s="245"/>
      <c r="T322" s="245"/>
      <c r="U322" s="245"/>
      <c r="V322" s="245"/>
      <c r="W322" s="245"/>
      <c r="X322" s="245"/>
      <c r="Y322" s="245"/>
      <c r="Z322" s="245"/>
      <c r="AA322" s="245"/>
      <c r="AB322" s="245"/>
    </row>
    <row r="323" spans="1:28" ht="14.1" customHeight="1">
      <c r="A323" s="245"/>
      <c r="B323" s="246"/>
      <c r="C323" s="467"/>
      <c r="D323" s="467"/>
      <c r="E323" s="467"/>
      <c r="F323" s="245"/>
      <c r="G323" s="245"/>
      <c r="H323" s="245"/>
      <c r="I323" s="245"/>
      <c r="J323" s="245"/>
      <c r="K323" s="245"/>
      <c r="L323" s="245"/>
      <c r="M323" s="245"/>
      <c r="N323" s="245"/>
      <c r="O323" s="245"/>
      <c r="P323" s="245"/>
      <c r="Q323" s="245"/>
      <c r="R323" s="245"/>
      <c r="S323" s="245"/>
      <c r="T323" s="245"/>
      <c r="U323" s="245"/>
      <c r="V323" s="245"/>
      <c r="W323" s="245"/>
      <c r="X323" s="245"/>
      <c r="Y323" s="245"/>
      <c r="Z323" s="245"/>
      <c r="AA323" s="245"/>
      <c r="AB323" s="245"/>
    </row>
    <row r="324" spans="1:28" ht="14.1" customHeight="1">
      <c r="A324" s="245"/>
      <c r="B324" s="246"/>
      <c r="C324" s="467"/>
      <c r="D324" s="467"/>
      <c r="E324" s="467"/>
      <c r="F324" s="245"/>
      <c r="G324" s="245"/>
      <c r="H324" s="245"/>
      <c r="I324" s="245"/>
      <c r="J324" s="245"/>
      <c r="K324" s="245"/>
      <c r="L324" s="245"/>
      <c r="M324" s="245"/>
      <c r="N324" s="245"/>
      <c r="O324" s="245"/>
      <c r="P324" s="245"/>
      <c r="Q324" s="245"/>
      <c r="R324" s="245"/>
      <c r="S324" s="245"/>
      <c r="T324" s="245"/>
      <c r="U324" s="245"/>
      <c r="V324" s="245"/>
      <c r="W324" s="245"/>
      <c r="X324" s="245"/>
      <c r="Y324" s="245"/>
      <c r="Z324" s="245"/>
      <c r="AA324" s="245"/>
      <c r="AB324" s="245"/>
    </row>
    <row r="325" spans="1:28" ht="14.1" customHeight="1">
      <c r="A325" s="245"/>
      <c r="B325" s="246"/>
      <c r="C325" s="467"/>
      <c r="D325" s="467"/>
      <c r="E325" s="467"/>
      <c r="F325" s="245"/>
      <c r="G325" s="245"/>
      <c r="H325" s="245"/>
      <c r="I325" s="245"/>
      <c r="J325" s="245"/>
      <c r="K325" s="245"/>
      <c r="L325" s="245"/>
      <c r="M325" s="245"/>
      <c r="N325" s="245"/>
      <c r="O325" s="245"/>
      <c r="P325" s="245"/>
      <c r="Q325" s="245"/>
      <c r="R325" s="245"/>
      <c r="S325" s="245"/>
      <c r="T325" s="245"/>
      <c r="U325" s="245"/>
      <c r="V325" s="245"/>
      <c r="W325" s="245"/>
      <c r="X325" s="245"/>
      <c r="Y325" s="245"/>
      <c r="Z325" s="245"/>
      <c r="AA325" s="245"/>
      <c r="AB325" s="245"/>
    </row>
    <row r="326" spans="1:28" ht="14.1" customHeight="1">
      <c r="A326" s="245"/>
      <c r="B326" s="246"/>
      <c r="C326" s="467"/>
      <c r="D326" s="467"/>
      <c r="E326" s="467"/>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245"/>
      <c r="AB326" s="245"/>
    </row>
    <row r="327" spans="1:28" ht="14.1" customHeight="1">
      <c r="A327" s="245"/>
      <c r="B327" s="246"/>
      <c r="C327" s="467"/>
      <c r="D327" s="467"/>
      <c r="E327" s="467"/>
      <c r="F327" s="245"/>
      <c r="G327" s="245"/>
      <c r="H327" s="245"/>
      <c r="I327" s="245"/>
      <c r="J327" s="245"/>
      <c r="K327" s="245"/>
      <c r="L327" s="245"/>
      <c r="M327" s="245"/>
      <c r="N327" s="245"/>
      <c r="O327" s="245"/>
      <c r="P327" s="245"/>
      <c r="Q327" s="245"/>
      <c r="R327" s="245"/>
      <c r="S327" s="245"/>
      <c r="T327" s="245"/>
      <c r="U327" s="245"/>
      <c r="V327" s="245"/>
      <c r="W327" s="245"/>
      <c r="X327" s="245"/>
      <c r="Y327" s="245"/>
      <c r="Z327" s="245"/>
      <c r="AA327" s="245"/>
      <c r="AB327" s="245"/>
    </row>
    <row r="328" spans="1:28" ht="14.1" customHeight="1">
      <c r="A328" s="245"/>
      <c r="B328" s="246"/>
      <c r="C328" s="467"/>
      <c r="D328" s="467"/>
      <c r="E328" s="467"/>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245"/>
      <c r="AB328" s="245"/>
    </row>
    <row r="329" spans="1:28" ht="14.1" customHeight="1">
      <c r="A329" s="245"/>
      <c r="B329" s="246"/>
      <c r="C329" s="467"/>
      <c r="D329" s="467"/>
      <c r="E329" s="467"/>
      <c r="F329" s="245"/>
      <c r="G329" s="245"/>
      <c r="H329" s="245"/>
      <c r="I329" s="245"/>
      <c r="J329" s="245"/>
      <c r="K329" s="245"/>
      <c r="L329" s="245"/>
      <c r="M329" s="245"/>
      <c r="N329" s="245"/>
      <c r="O329" s="245"/>
      <c r="P329" s="245"/>
      <c r="Q329" s="245"/>
      <c r="R329" s="245"/>
      <c r="S329" s="245"/>
      <c r="T329" s="245"/>
      <c r="U329" s="245"/>
      <c r="V329" s="245"/>
      <c r="W329" s="245"/>
      <c r="X329" s="245"/>
      <c r="Y329" s="245"/>
      <c r="Z329" s="245"/>
      <c r="AA329" s="245"/>
      <c r="AB329" s="245"/>
    </row>
    <row r="330" spans="1:28" ht="14.1" customHeight="1">
      <c r="A330" s="245"/>
      <c r="B330" s="246"/>
      <c r="C330" s="467"/>
      <c r="D330" s="467"/>
      <c r="E330" s="467"/>
      <c r="F330" s="245"/>
      <c r="G330" s="245"/>
      <c r="H330" s="245"/>
      <c r="I330" s="245"/>
      <c r="J330" s="245"/>
      <c r="K330" s="245"/>
      <c r="L330" s="245"/>
      <c r="M330" s="245"/>
      <c r="N330" s="245"/>
      <c r="O330" s="245"/>
      <c r="P330" s="245"/>
      <c r="Q330" s="245"/>
      <c r="R330" s="245"/>
      <c r="S330" s="245"/>
      <c r="T330" s="245"/>
      <c r="U330" s="245"/>
      <c r="V330" s="245"/>
      <c r="W330" s="245"/>
      <c r="X330" s="245"/>
      <c r="Y330" s="245"/>
      <c r="Z330" s="245"/>
      <c r="AA330" s="245"/>
      <c r="AB330" s="245"/>
    </row>
    <row r="331" spans="1:28" ht="14.1" customHeight="1">
      <c r="A331" s="245"/>
      <c r="B331" s="246"/>
      <c r="C331" s="467"/>
      <c r="D331" s="467"/>
      <c r="E331" s="467"/>
      <c r="F331" s="245"/>
      <c r="G331" s="245"/>
      <c r="H331" s="245"/>
      <c r="I331" s="245"/>
      <c r="J331" s="245"/>
      <c r="K331" s="245"/>
      <c r="L331" s="245"/>
      <c r="M331" s="245"/>
      <c r="N331" s="245"/>
      <c r="O331" s="245"/>
      <c r="P331" s="245"/>
      <c r="Q331" s="245"/>
      <c r="R331" s="245"/>
      <c r="S331" s="245"/>
      <c r="T331" s="245"/>
      <c r="U331" s="245"/>
      <c r="V331" s="245"/>
      <c r="W331" s="245"/>
      <c r="X331" s="245"/>
      <c r="Y331" s="245"/>
      <c r="Z331" s="245"/>
      <c r="AA331" s="245"/>
      <c r="AB331" s="245"/>
    </row>
    <row r="332" spans="1:28" ht="14.1" customHeight="1">
      <c r="A332" s="245"/>
      <c r="B332" s="246"/>
      <c r="C332" s="467"/>
      <c r="D332" s="467"/>
      <c r="E332" s="467"/>
      <c r="F332" s="245"/>
      <c r="G332" s="245"/>
      <c r="H332" s="245"/>
      <c r="I332" s="245"/>
      <c r="J332" s="245"/>
      <c r="K332" s="245"/>
      <c r="L332" s="245"/>
      <c r="M332" s="245"/>
      <c r="N332" s="245"/>
      <c r="O332" s="245"/>
      <c r="P332" s="245"/>
      <c r="Q332" s="245"/>
      <c r="R332" s="245"/>
      <c r="S332" s="245"/>
      <c r="T332" s="245"/>
      <c r="U332" s="245"/>
      <c r="V332" s="245"/>
      <c r="W332" s="245"/>
      <c r="X332" s="245"/>
      <c r="Y332" s="245"/>
      <c r="Z332" s="245"/>
      <c r="AA332" s="245"/>
      <c r="AB332" s="245"/>
    </row>
    <row r="333" spans="1:28" ht="14.1" customHeight="1">
      <c r="A333" s="245"/>
      <c r="B333" s="246"/>
      <c r="C333" s="467"/>
      <c r="D333" s="467"/>
      <c r="E333" s="467"/>
      <c r="F333" s="245"/>
      <c r="G333" s="245"/>
      <c r="H333" s="245"/>
      <c r="I333" s="245"/>
      <c r="J333" s="245"/>
      <c r="K333" s="245"/>
      <c r="L333" s="245"/>
      <c r="M333" s="245"/>
      <c r="N333" s="245"/>
      <c r="O333" s="245"/>
      <c r="P333" s="245"/>
      <c r="Q333" s="245"/>
      <c r="R333" s="245"/>
      <c r="S333" s="245"/>
      <c r="T333" s="245"/>
      <c r="U333" s="245"/>
      <c r="V333" s="245"/>
      <c r="W333" s="245"/>
      <c r="X333" s="245"/>
      <c r="Y333" s="245"/>
      <c r="Z333" s="245"/>
      <c r="AA333" s="245"/>
      <c r="AB333" s="245"/>
    </row>
    <row r="334" spans="1:28" ht="14.1" customHeight="1">
      <c r="A334" s="245"/>
      <c r="B334" s="246"/>
      <c r="C334" s="467"/>
      <c r="D334" s="467"/>
      <c r="E334" s="467"/>
      <c r="F334" s="245"/>
      <c r="G334" s="245"/>
      <c r="H334" s="245"/>
      <c r="I334" s="245"/>
      <c r="J334" s="245"/>
      <c r="K334" s="245"/>
      <c r="L334" s="245"/>
      <c r="M334" s="245"/>
      <c r="N334" s="245"/>
      <c r="O334" s="245"/>
      <c r="P334" s="245"/>
      <c r="Q334" s="245"/>
      <c r="R334" s="245"/>
      <c r="S334" s="245"/>
      <c r="T334" s="245"/>
      <c r="U334" s="245"/>
      <c r="V334" s="245"/>
      <c r="W334" s="245"/>
      <c r="X334" s="245"/>
      <c r="Y334" s="245"/>
      <c r="Z334" s="245"/>
      <c r="AA334" s="245"/>
      <c r="AB334" s="245"/>
    </row>
    <row r="335" spans="1:28" ht="14.1" customHeight="1">
      <c r="A335" s="245"/>
      <c r="B335" s="246"/>
      <c r="C335" s="467"/>
      <c r="D335" s="467"/>
      <c r="E335" s="467"/>
      <c r="F335" s="245"/>
      <c r="G335" s="245"/>
      <c r="H335" s="245"/>
      <c r="I335" s="245"/>
      <c r="J335" s="245"/>
      <c r="K335" s="245"/>
      <c r="L335" s="245"/>
      <c r="M335" s="245"/>
      <c r="N335" s="245"/>
      <c r="O335" s="245"/>
      <c r="P335" s="245"/>
      <c r="Q335" s="245"/>
      <c r="R335" s="245"/>
      <c r="S335" s="245"/>
      <c r="T335" s="245"/>
      <c r="U335" s="245"/>
      <c r="V335" s="245"/>
      <c r="W335" s="245"/>
      <c r="X335" s="245"/>
      <c r="Y335" s="245"/>
      <c r="Z335" s="245"/>
      <c r="AA335" s="245"/>
      <c r="AB335" s="245"/>
    </row>
    <row r="336" spans="1:28" ht="14.1" customHeight="1">
      <c r="A336" s="245"/>
      <c r="B336" s="246"/>
      <c r="C336" s="467"/>
      <c r="D336" s="467"/>
      <c r="E336" s="467"/>
      <c r="F336" s="245"/>
      <c r="G336" s="245"/>
      <c r="H336" s="245"/>
      <c r="I336" s="245"/>
      <c r="J336" s="245"/>
      <c r="K336" s="245"/>
      <c r="L336" s="245"/>
      <c r="M336" s="245"/>
      <c r="N336" s="245"/>
      <c r="O336" s="245"/>
      <c r="P336" s="245"/>
      <c r="Q336" s="245"/>
      <c r="R336" s="245"/>
      <c r="S336" s="245"/>
      <c r="T336" s="245"/>
      <c r="U336" s="245"/>
      <c r="V336" s="245"/>
      <c r="W336" s="245"/>
      <c r="X336" s="245"/>
      <c r="Y336" s="245"/>
      <c r="Z336" s="245"/>
      <c r="AA336" s="245"/>
      <c r="AB336" s="245"/>
    </row>
    <row r="337" spans="1:28" ht="14.1" customHeight="1">
      <c r="A337" s="245"/>
      <c r="B337" s="246"/>
      <c r="C337" s="467"/>
      <c r="D337" s="467"/>
      <c r="E337" s="467"/>
      <c r="F337" s="245"/>
      <c r="G337" s="245"/>
      <c r="H337" s="245"/>
      <c r="I337" s="245"/>
      <c r="J337" s="245"/>
      <c r="K337" s="245"/>
      <c r="L337" s="245"/>
      <c r="M337" s="245"/>
      <c r="N337" s="245"/>
      <c r="O337" s="245"/>
      <c r="P337" s="245"/>
      <c r="Q337" s="245"/>
      <c r="R337" s="245"/>
      <c r="S337" s="245"/>
      <c r="T337" s="245"/>
      <c r="U337" s="245"/>
      <c r="V337" s="245"/>
      <c r="W337" s="245"/>
      <c r="X337" s="245"/>
      <c r="Y337" s="245"/>
      <c r="Z337" s="245"/>
      <c r="AA337" s="245"/>
      <c r="AB337" s="245"/>
    </row>
    <row r="338" spans="1:28" ht="14.1" customHeight="1">
      <c r="A338" s="245"/>
      <c r="B338" s="246"/>
      <c r="C338" s="467"/>
      <c r="D338" s="467"/>
      <c r="E338" s="467"/>
      <c r="F338" s="245"/>
      <c r="G338" s="245"/>
      <c r="H338" s="245"/>
      <c r="I338" s="245"/>
      <c r="J338" s="245"/>
      <c r="K338" s="245"/>
      <c r="L338" s="245"/>
      <c r="M338" s="245"/>
      <c r="N338" s="245"/>
      <c r="O338" s="245"/>
      <c r="P338" s="245"/>
      <c r="Q338" s="245"/>
      <c r="R338" s="245"/>
      <c r="S338" s="245"/>
      <c r="T338" s="245"/>
      <c r="U338" s="245"/>
      <c r="V338" s="245"/>
      <c r="W338" s="245"/>
      <c r="X338" s="245"/>
      <c r="Y338" s="245"/>
      <c r="Z338" s="245"/>
      <c r="AA338" s="245"/>
      <c r="AB338" s="245"/>
    </row>
    <row r="339" spans="1:28" ht="14.1" customHeight="1">
      <c r="A339" s="245"/>
      <c r="B339" s="246"/>
      <c r="C339" s="467"/>
      <c r="D339" s="467"/>
      <c r="E339" s="467"/>
      <c r="F339" s="245"/>
      <c r="G339" s="245"/>
      <c r="H339" s="245"/>
      <c r="I339" s="245"/>
      <c r="J339" s="245"/>
      <c r="K339" s="245"/>
      <c r="L339" s="245"/>
      <c r="M339" s="245"/>
      <c r="N339" s="245"/>
      <c r="O339" s="245"/>
      <c r="P339" s="245"/>
      <c r="Q339" s="245"/>
      <c r="R339" s="245"/>
      <c r="S339" s="245"/>
      <c r="T339" s="245"/>
      <c r="U339" s="245"/>
      <c r="V339" s="245"/>
      <c r="W339" s="245"/>
      <c r="X339" s="245"/>
      <c r="Y339" s="245"/>
      <c r="Z339" s="245"/>
      <c r="AA339" s="245"/>
      <c r="AB339" s="245"/>
    </row>
    <row r="340" spans="1:28" ht="14.1" customHeight="1">
      <c r="A340" s="245"/>
      <c r="B340" s="246"/>
      <c r="C340" s="467"/>
      <c r="D340" s="467"/>
      <c r="E340" s="467"/>
      <c r="F340" s="245"/>
      <c r="G340" s="245"/>
      <c r="H340" s="245"/>
      <c r="I340" s="245"/>
      <c r="J340" s="245"/>
      <c r="K340" s="245"/>
      <c r="L340" s="245"/>
      <c r="M340" s="245"/>
      <c r="N340" s="245"/>
      <c r="O340" s="245"/>
      <c r="P340" s="245"/>
      <c r="Q340" s="245"/>
      <c r="R340" s="245"/>
      <c r="S340" s="245"/>
      <c r="T340" s="245"/>
      <c r="U340" s="245"/>
      <c r="V340" s="245"/>
      <c r="W340" s="245"/>
      <c r="X340" s="245"/>
      <c r="Y340" s="245"/>
      <c r="Z340" s="245"/>
      <c r="AA340" s="245"/>
      <c r="AB340" s="245"/>
    </row>
    <row r="341" spans="1:28" ht="14.1" customHeight="1">
      <c r="A341" s="245"/>
      <c r="B341" s="246"/>
      <c r="C341" s="467"/>
      <c r="D341" s="467"/>
      <c r="E341" s="467"/>
      <c r="F341" s="245"/>
      <c r="G341" s="245"/>
      <c r="H341" s="245"/>
      <c r="I341" s="245"/>
      <c r="J341" s="245"/>
      <c r="K341" s="245"/>
      <c r="L341" s="245"/>
      <c r="M341" s="245"/>
      <c r="N341" s="245"/>
      <c r="O341" s="245"/>
      <c r="P341" s="245"/>
      <c r="Q341" s="245"/>
      <c r="R341" s="245"/>
      <c r="S341" s="245"/>
      <c r="T341" s="245"/>
      <c r="U341" s="245"/>
      <c r="V341" s="245"/>
      <c r="W341" s="245"/>
      <c r="X341" s="245"/>
      <c r="Y341" s="245"/>
      <c r="Z341" s="245"/>
      <c r="AA341" s="245"/>
      <c r="AB341" s="245"/>
    </row>
    <row r="342" spans="1:28" ht="14.1" customHeight="1">
      <c r="A342" s="245"/>
      <c r="B342" s="246"/>
      <c r="C342" s="467"/>
      <c r="D342" s="467"/>
      <c r="E342" s="467"/>
      <c r="F342" s="245"/>
      <c r="G342" s="245"/>
      <c r="H342" s="245"/>
      <c r="I342" s="245"/>
      <c r="J342" s="245"/>
      <c r="K342" s="245"/>
      <c r="L342" s="245"/>
      <c r="M342" s="245"/>
      <c r="N342" s="245"/>
      <c r="O342" s="245"/>
      <c r="P342" s="245"/>
      <c r="Q342" s="245"/>
      <c r="R342" s="245"/>
      <c r="S342" s="245"/>
      <c r="T342" s="245"/>
      <c r="U342" s="245"/>
      <c r="V342" s="245"/>
      <c r="W342" s="245"/>
      <c r="X342" s="245"/>
      <c r="Y342" s="245"/>
      <c r="Z342" s="245"/>
      <c r="AA342" s="245"/>
      <c r="AB342" s="245"/>
    </row>
    <row r="343" spans="1:28" ht="14.1" customHeight="1">
      <c r="A343" s="245"/>
      <c r="B343" s="246"/>
      <c r="C343" s="467"/>
      <c r="D343" s="467"/>
      <c r="E343" s="467"/>
      <c r="F343" s="245"/>
      <c r="G343" s="245"/>
      <c r="H343" s="245"/>
      <c r="I343" s="245"/>
      <c r="J343" s="245"/>
      <c r="K343" s="245"/>
      <c r="L343" s="245"/>
      <c r="M343" s="245"/>
      <c r="N343" s="245"/>
      <c r="O343" s="245"/>
      <c r="P343" s="245"/>
      <c r="Q343" s="245"/>
      <c r="R343" s="245"/>
      <c r="S343" s="245"/>
      <c r="T343" s="245"/>
      <c r="U343" s="245"/>
      <c r="V343" s="245"/>
      <c r="W343" s="245"/>
      <c r="X343" s="245"/>
      <c r="Y343" s="245"/>
      <c r="Z343" s="245"/>
      <c r="AA343" s="245"/>
      <c r="AB343" s="245"/>
    </row>
    <row r="344" spans="1:28" ht="13.5" customHeight="1">
      <c r="A344" s="245"/>
      <c r="B344" s="246"/>
      <c r="C344" s="467"/>
      <c r="D344" s="467"/>
      <c r="E344" s="467"/>
      <c r="F344" s="245"/>
      <c r="G344" s="245"/>
      <c r="H344" s="245"/>
      <c r="I344" s="396"/>
      <c r="J344" s="396"/>
      <c r="K344" s="245"/>
      <c r="L344" s="245"/>
      <c r="M344" s="245"/>
      <c r="N344" s="245"/>
      <c r="O344" s="245"/>
      <c r="P344" s="245"/>
      <c r="Q344" s="245"/>
      <c r="R344" s="245"/>
      <c r="S344" s="245"/>
      <c r="T344" s="245"/>
      <c r="U344" s="245"/>
      <c r="V344" s="245"/>
      <c r="W344" s="245"/>
      <c r="X344" s="245"/>
      <c r="Y344" s="245"/>
      <c r="Z344" s="245"/>
      <c r="AA344" s="245"/>
      <c r="AB344" s="245"/>
    </row>
    <row r="345" spans="1:28" ht="27.75" customHeight="1">
      <c r="A345" s="245"/>
      <c r="B345" s="246"/>
      <c r="C345" s="1024" t="s">
        <v>1685</v>
      </c>
      <c r="D345" s="1024"/>
      <c r="E345" s="1024"/>
      <c r="F345" s="1024"/>
      <c r="G345" s="1024"/>
      <c r="H345" s="1024"/>
      <c r="I345" s="468"/>
      <c r="J345" s="396"/>
      <c r="K345" s="245"/>
      <c r="L345" s="245"/>
      <c r="M345" s="245"/>
      <c r="N345" s="245"/>
      <c r="O345" s="245"/>
      <c r="P345" s="245"/>
      <c r="Q345" s="245"/>
      <c r="R345" s="245"/>
      <c r="S345" s="245"/>
      <c r="T345" s="245"/>
      <c r="U345" s="245"/>
      <c r="V345" s="245"/>
      <c r="W345" s="245"/>
      <c r="X345" s="245"/>
      <c r="Y345" s="245"/>
      <c r="Z345" s="245"/>
      <c r="AA345" s="245"/>
      <c r="AB345" s="245"/>
    </row>
    <row r="346" spans="1:28" ht="30" customHeight="1">
      <c r="A346" s="245"/>
      <c r="B346" s="246"/>
      <c r="C346" s="1022" t="s">
        <v>1686</v>
      </c>
      <c r="D346" s="1022"/>
      <c r="E346" s="1022"/>
      <c r="F346" s="1022"/>
      <c r="G346" s="1022"/>
      <c r="H346" s="396"/>
      <c r="I346" s="396"/>
      <c r="J346" s="396"/>
      <c r="K346" s="245"/>
      <c r="L346" s="245"/>
      <c r="M346" s="245"/>
      <c r="N346" s="245"/>
      <c r="O346" s="245"/>
      <c r="P346" s="245"/>
      <c r="Q346" s="245"/>
      <c r="R346" s="245"/>
      <c r="S346" s="245"/>
      <c r="T346" s="245"/>
      <c r="U346" s="245"/>
      <c r="V346" s="245"/>
      <c r="W346" s="245"/>
      <c r="X346" s="245"/>
      <c r="Y346" s="245"/>
      <c r="Z346" s="245"/>
      <c r="AA346" s="245"/>
      <c r="AB346" s="245"/>
    </row>
    <row r="347" spans="1:28">
      <c r="A347" s="245"/>
      <c r="B347" s="246"/>
      <c r="C347" s="467"/>
      <c r="D347" s="396"/>
      <c r="E347" s="396"/>
      <c r="F347" s="396"/>
      <c r="G347" s="396"/>
      <c r="H347" s="396"/>
      <c r="I347" s="396"/>
      <c r="J347" s="396"/>
      <c r="K347" s="245"/>
      <c r="L347" s="245"/>
      <c r="M347" s="245"/>
      <c r="N347" s="245"/>
      <c r="O347" s="245"/>
      <c r="P347" s="245"/>
      <c r="Q347" s="245"/>
      <c r="R347" s="245"/>
      <c r="S347" s="245"/>
      <c r="T347" s="245"/>
      <c r="U347" s="245"/>
      <c r="V347" s="245"/>
      <c r="W347" s="245"/>
      <c r="X347" s="245"/>
      <c r="Y347" s="245"/>
      <c r="Z347" s="245"/>
      <c r="AA347" s="245"/>
      <c r="AB347" s="245"/>
    </row>
    <row r="348" spans="1:28" ht="13.5" customHeight="1">
      <c r="A348" s="245"/>
      <c r="B348" s="246"/>
      <c r="C348" s="467"/>
      <c r="E348" s="467"/>
      <c r="F348" s="245"/>
      <c r="G348" s="245"/>
      <c r="H348" s="245"/>
      <c r="I348" s="245"/>
      <c r="J348" s="245"/>
      <c r="K348" s="245"/>
      <c r="L348" s="245"/>
      <c r="M348" s="245"/>
      <c r="N348" s="245"/>
      <c r="O348" s="245"/>
      <c r="P348" s="245"/>
      <c r="Q348" s="245"/>
      <c r="R348" s="245"/>
      <c r="S348" s="245"/>
      <c r="T348" s="245"/>
      <c r="U348" s="245"/>
      <c r="V348" s="245"/>
      <c r="W348" s="245"/>
      <c r="X348" s="245"/>
      <c r="Y348" s="245"/>
      <c r="Z348" s="245"/>
      <c r="AA348" s="245"/>
      <c r="AB348" s="245"/>
    </row>
    <row r="349" spans="1:28" ht="14.1" customHeight="1">
      <c r="A349" s="245"/>
      <c r="B349" s="246"/>
      <c r="C349" s="467"/>
      <c r="D349" s="467"/>
      <c r="E349" s="467"/>
      <c r="F349" s="245"/>
      <c r="G349" s="245"/>
      <c r="H349" s="245"/>
      <c r="I349" s="245"/>
      <c r="J349" s="245"/>
      <c r="K349" s="245"/>
      <c r="L349" s="245"/>
      <c r="M349" s="245"/>
      <c r="N349" s="245"/>
      <c r="O349" s="245"/>
      <c r="P349" s="245"/>
      <c r="Q349" s="245"/>
      <c r="R349" s="245"/>
      <c r="S349" s="245"/>
      <c r="T349" s="245"/>
      <c r="U349" s="245"/>
      <c r="V349" s="245"/>
      <c r="W349" s="245"/>
      <c r="X349" s="245"/>
      <c r="Y349" s="245"/>
      <c r="Z349" s="245"/>
      <c r="AA349" s="245"/>
      <c r="AB349" s="245"/>
    </row>
    <row r="350" spans="1:28" ht="18" customHeight="1">
      <c r="A350" s="245"/>
      <c r="B350" s="376" t="s">
        <v>1687</v>
      </c>
      <c r="C350" s="377" t="s">
        <v>1688</v>
      </c>
      <c r="D350" s="378"/>
      <c r="E350" s="378"/>
      <c r="F350" s="378"/>
      <c r="G350" s="378"/>
      <c r="H350" s="378"/>
      <c r="I350" s="378"/>
      <c r="J350" s="378"/>
      <c r="K350" s="378"/>
      <c r="L350" s="379"/>
      <c r="M350" s="245"/>
      <c r="N350" s="245"/>
      <c r="O350" s="245"/>
      <c r="P350" s="245"/>
      <c r="Q350" s="245"/>
      <c r="R350" s="245"/>
      <c r="S350" s="245"/>
      <c r="T350" s="245"/>
      <c r="U350" s="245"/>
      <c r="V350" s="245"/>
      <c r="W350" s="245"/>
      <c r="X350" s="245"/>
      <c r="Y350" s="245"/>
      <c r="Z350" s="245"/>
      <c r="AA350" s="245"/>
      <c r="AB350" s="245"/>
    </row>
    <row r="351" spans="1:28" s="280" customFormat="1" ht="14.1" customHeight="1">
      <c r="A351" s="245"/>
      <c r="B351" s="437"/>
      <c r="C351" s="469"/>
      <c r="D351" s="469"/>
      <c r="E351" s="469"/>
      <c r="F351" s="245"/>
      <c r="G351" s="245"/>
      <c r="H351" s="245"/>
      <c r="I351" s="245"/>
      <c r="J351" s="245"/>
      <c r="K351" s="245"/>
      <c r="L351" s="245"/>
      <c r="M351" s="245"/>
      <c r="N351" s="245"/>
      <c r="O351" s="245"/>
      <c r="P351" s="245"/>
      <c r="Q351" s="245"/>
      <c r="R351" s="245"/>
      <c r="S351" s="245"/>
      <c r="T351" s="245"/>
      <c r="U351" s="245"/>
      <c r="V351" s="245"/>
      <c r="W351" s="245"/>
      <c r="X351" s="245"/>
      <c r="Y351" s="245"/>
      <c r="Z351" s="245"/>
      <c r="AA351" s="245"/>
      <c r="AB351" s="245"/>
    </row>
    <row r="352" spans="1:28" ht="14.1" customHeight="1" thickBot="1">
      <c r="A352" s="245"/>
      <c r="B352" s="246"/>
      <c r="C352" s="420"/>
      <c r="D352" s="420"/>
      <c r="E352" s="420"/>
      <c r="F352" s="245"/>
      <c r="G352" s="245"/>
      <c r="H352" s="245"/>
      <c r="I352" s="245"/>
      <c r="J352" s="245"/>
      <c r="K352" s="245"/>
      <c r="L352" s="245"/>
      <c r="M352" s="245"/>
      <c r="N352" s="245"/>
      <c r="O352" s="245"/>
      <c r="P352" s="245"/>
      <c r="Q352" s="245"/>
      <c r="R352" s="245"/>
      <c r="S352" s="245"/>
      <c r="T352" s="245"/>
      <c r="U352" s="245"/>
      <c r="V352" s="245"/>
      <c r="W352" s="245"/>
      <c r="X352" s="245"/>
      <c r="Y352" s="245"/>
      <c r="Z352" s="245"/>
      <c r="AA352" s="245"/>
      <c r="AB352" s="245"/>
    </row>
    <row r="353" spans="1:28" ht="18" customHeight="1">
      <c r="A353" s="245"/>
      <c r="B353" s="246"/>
      <c r="C353" s="1052" t="s">
        <v>1654</v>
      </c>
      <c r="D353" s="1053"/>
      <c r="E353" s="1053"/>
      <c r="F353" s="1053"/>
      <c r="G353" s="1054"/>
      <c r="H353" s="447" t="s">
        <v>1393</v>
      </c>
      <c r="I353" s="448" t="s">
        <v>1394</v>
      </c>
      <c r="J353" s="449" t="s">
        <v>1395</v>
      </c>
      <c r="K353" s="245"/>
      <c r="L353" s="245"/>
      <c r="M353" s="245"/>
      <c r="N353" s="245"/>
      <c r="O353" s="245"/>
      <c r="P353" s="245"/>
      <c r="Q353" s="245"/>
      <c r="R353" s="245"/>
      <c r="S353" s="245"/>
      <c r="T353" s="245"/>
      <c r="U353" s="245"/>
      <c r="V353" s="245"/>
      <c r="W353" s="245"/>
      <c r="X353" s="245"/>
      <c r="Y353" s="245"/>
      <c r="Z353" s="245"/>
      <c r="AA353" s="245"/>
      <c r="AB353" s="245"/>
    </row>
    <row r="354" spans="1:28" ht="18" customHeight="1" thickBot="1">
      <c r="A354" s="245"/>
      <c r="B354" s="246"/>
      <c r="C354" s="1055"/>
      <c r="D354" s="1056"/>
      <c r="E354" s="1056"/>
      <c r="F354" s="1056"/>
      <c r="G354" s="1057"/>
      <c r="H354" s="450" t="s">
        <v>1689</v>
      </c>
      <c r="I354" s="451" t="s">
        <v>1690</v>
      </c>
      <c r="J354" s="452" t="s">
        <v>1691</v>
      </c>
      <c r="K354" s="245"/>
      <c r="L354" s="245"/>
      <c r="M354" s="245"/>
      <c r="N354" s="245"/>
      <c r="O354" s="245"/>
      <c r="P354" s="245"/>
      <c r="Q354" s="245"/>
      <c r="R354" s="245"/>
      <c r="S354" s="245"/>
      <c r="T354" s="245"/>
      <c r="U354" s="245"/>
      <c r="V354" s="245"/>
      <c r="W354" s="245"/>
      <c r="X354" s="245"/>
      <c r="Y354" s="245"/>
      <c r="Z354" s="245"/>
      <c r="AA354" s="245"/>
      <c r="AB354" s="245"/>
    </row>
    <row r="355" spans="1:28" ht="14.1" customHeight="1">
      <c r="A355" s="245"/>
      <c r="B355" s="246"/>
      <c r="C355" s="431" t="s">
        <v>1658</v>
      </c>
      <c r="D355" s="453"/>
      <c r="E355" s="453"/>
      <c r="F355" s="453"/>
      <c r="G355" s="454"/>
      <c r="H355" s="470">
        <v>1363.19</v>
      </c>
      <c r="I355" s="456">
        <v>3.499E-2</v>
      </c>
      <c r="J355" s="457">
        <v>6.9499999999999996E-3</v>
      </c>
      <c r="K355" s="245"/>
      <c r="L355" s="245"/>
      <c r="M355" s="245"/>
      <c r="N355" s="245"/>
      <c r="O355" s="245"/>
      <c r="P355" s="245"/>
      <c r="Q355" s="245"/>
      <c r="R355" s="245"/>
      <c r="S355" s="245"/>
      <c r="T355" s="245"/>
      <c r="U355" s="245"/>
      <c r="V355" s="245"/>
      <c r="W355" s="245"/>
      <c r="X355" s="245"/>
      <c r="Y355" s="245"/>
      <c r="Z355" s="245"/>
      <c r="AA355" s="245"/>
      <c r="AB355" s="245"/>
    </row>
    <row r="356" spans="1:28" ht="14.1" customHeight="1">
      <c r="A356" s="245"/>
      <c r="B356" s="246"/>
      <c r="C356" s="433" t="s">
        <v>1659</v>
      </c>
      <c r="D356" s="458"/>
      <c r="E356" s="458"/>
      <c r="F356" s="458"/>
      <c r="G356" s="408"/>
      <c r="H356" s="471">
        <v>1462.3</v>
      </c>
      <c r="I356" s="308">
        <v>6.1679999999999999E-2</v>
      </c>
      <c r="J356" s="460">
        <v>1.218E-2</v>
      </c>
      <c r="K356" s="245"/>
      <c r="L356" s="245"/>
      <c r="M356" s="245"/>
      <c r="N356" s="245"/>
      <c r="O356" s="245"/>
      <c r="P356" s="245"/>
      <c r="Q356" s="245"/>
      <c r="R356" s="245"/>
      <c r="S356" s="245"/>
      <c r="T356" s="245"/>
      <c r="U356" s="245"/>
      <c r="V356" s="245"/>
      <c r="W356" s="245"/>
      <c r="X356" s="245"/>
      <c r="Y356" s="245"/>
      <c r="Z356" s="245"/>
      <c r="AA356" s="245"/>
      <c r="AB356" s="245"/>
    </row>
    <row r="357" spans="1:28" ht="14.1" customHeight="1">
      <c r="A357" s="245"/>
      <c r="B357" s="246"/>
      <c r="C357" s="433" t="s">
        <v>1660</v>
      </c>
      <c r="D357" s="458"/>
      <c r="E357" s="458"/>
      <c r="F357" s="458"/>
      <c r="G357" s="408"/>
      <c r="H357" s="471">
        <v>1211.8399999999999</v>
      </c>
      <c r="I357" s="308">
        <v>2.0559999999999998E-2</v>
      </c>
      <c r="J357" s="460">
        <v>9.3100000000000006E-3</v>
      </c>
      <c r="K357" s="245"/>
      <c r="L357" s="245"/>
      <c r="M357" s="245"/>
      <c r="N357" s="245"/>
      <c r="O357" s="245"/>
      <c r="P357" s="245"/>
      <c r="Q357" s="245"/>
      <c r="R357" s="245"/>
      <c r="S357" s="245"/>
      <c r="T357" s="245"/>
      <c r="U357" s="245"/>
      <c r="V357" s="245"/>
      <c r="W357" s="245"/>
      <c r="X357" s="245"/>
      <c r="Y357" s="245"/>
      <c r="Z357" s="245"/>
      <c r="AA357" s="245"/>
      <c r="AB357" s="245"/>
    </row>
    <row r="358" spans="1:28" ht="14.1" customHeight="1">
      <c r="A358" s="245"/>
      <c r="B358" s="246"/>
      <c r="C358" s="433" t="s">
        <v>1661</v>
      </c>
      <c r="D358" s="458"/>
      <c r="E358" s="458"/>
      <c r="F358" s="458"/>
      <c r="G358" s="408"/>
      <c r="H358" s="471">
        <v>1045.3</v>
      </c>
      <c r="I358" s="308">
        <v>3.9419999999999997E-2</v>
      </c>
      <c r="J358" s="460">
        <v>4.7400000000000003E-3</v>
      </c>
      <c r="K358" s="245"/>
      <c r="L358" s="245"/>
      <c r="M358" s="245"/>
      <c r="N358" s="245"/>
      <c r="O358" s="245"/>
      <c r="P358" s="245"/>
      <c r="Q358" s="245"/>
      <c r="R358" s="245"/>
      <c r="S358" s="245"/>
      <c r="T358" s="245"/>
      <c r="U358" s="245"/>
      <c r="V358" s="245"/>
      <c r="W358" s="245"/>
      <c r="X358" s="245"/>
      <c r="Y358" s="245"/>
      <c r="Z358" s="245"/>
      <c r="AA358" s="245"/>
      <c r="AB358" s="245"/>
    </row>
    <row r="359" spans="1:28" ht="14.1" customHeight="1">
      <c r="A359" s="245"/>
      <c r="B359" s="246"/>
      <c r="C359" s="433" t="s">
        <v>1662</v>
      </c>
      <c r="D359" s="458"/>
      <c r="E359" s="458"/>
      <c r="F359" s="458"/>
      <c r="G359" s="408"/>
      <c r="H359" s="471">
        <v>1096.19</v>
      </c>
      <c r="I359" s="308">
        <v>1.9689999999999999E-2</v>
      </c>
      <c r="J359" s="460">
        <v>5.6299999999999996E-3</v>
      </c>
      <c r="K359" s="245"/>
      <c r="L359" s="245"/>
      <c r="M359" s="245"/>
      <c r="N359" s="245"/>
      <c r="O359" s="245"/>
      <c r="P359" s="245"/>
      <c r="Q359" s="245"/>
      <c r="R359" s="245"/>
      <c r="S359" s="245"/>
      <c r="T359" s="245"/>
      <c r="U359" s="245"/>
      <c r="V359" s="245"/>
      <c r="W359" s="245"/>
      <c r="X359" s="245"/>
      <c r="Y359" s="245"/>
      <c r="Z359" s="245"/>
      <c r="AA359" s="245"/>
      <c r="AB359" s="245"/>
    </row>
    <row r="360" spans="1:28" ht="14.1" customHeight="1">
      <c r="A360" s="245"/>
      <c r="B360" s="246"/>
      <c r="C360" s="433" t="s">
        <v>1663</v>
      </c>
      <c r="D360" s="458"/>
      <c r="E360" s="458"/>
      <c r="F360" s="458"/>
      <c r="G360" s="408"/>
      <c r="H360" s="471">
        <v>1286.4100000000001</v>
      </c>
      <c r="I360" s="308">
        <v>4.3400000000000001E-2</v>
      </c>
      <c r="J360" s="460">
        <v>1.15E-2</v>
      </c>
      <c r="K360" s="245"/>
      <c r="L360" s="245"/>
      <c r="M360" s="245"/>
      <c r="N360" s="245"/>
      <c r="O360" s="245"/>
      <c r="P360" s="245"/>
      <c r="Q360" s="245"/>
      <c r="R360" s="245"/>
      <c r="S360" s="245"/>
      <c r="T360" s="245"/>
      <c r="U360" s="245"/>
      <c r="V360" s="245"/>
      <c r="W360" s="245"/>
      <c r="X360" s="245"/>
      <c r="Y360" s="245"/>
      <c r="Z360" s="245"/>
      <c r="AA360" s="245"/>
      <c r="AB360" s="245"/>
    </row>
    <row r="361" spans="1:28" ht="14.1" customHeight="1">
      <c r="A361" s="245"/>
      <c r="B361" s="246"/>
      <c r="C361" s="433" t="s">
        <v>1664</v>
      </c>
      <c r="D361" s="458"/>
      <c r="E361" s="458"/>
      <c r="F361" s="458"/>
      <c r="G361" s="408"/>
      <c r="H361" s="471">
        <v>1645.57</v>
      </c>
      <c r="I361" s="308">
        <v>0.12293999999999999</v>
      </c>
      <c r="J361" s="460">
        <v>2.1329999999999998E-2</v>
      </c>
      <c r="K361" s="245"/>
      <c r="L361" s="245"/>
      <c r="M361" s="245"/>
      <c r="N361" s="245"/>
      <c r="O361" s="245"/>
      <c r="P361" s="245"/>
      <c r="Q361" s="245"/>
      <c r="R361" s="245"/>
      <c r="S361" s="245"/>
      <c r="T361" s="245"/>
      <c r="U361" s="245"/>
      <c r="V361" s="245"/>
      <c r="W361" s="245"/>
      <c r="X361" s="245"/>
      <c r="Y361" s="245"/>
      <c r="Z361" s="245"/>
      <c r="AA361" s="245"/>
      <c r="AB361" s="245"/>
    </row>
    <row r="362" spans="1:28" ht="14.1" customHeight="1">
      <c r="A362" s="245"/>
      <c r="B362" s="246"/>
      <c r="C362" s="433" t="s">
        <v>1665</v>
      </c>
      <c r="D362" s="458"/>
      <c r="E362" s="458"/>
      <c r="F362" s="458"/>
      <c r="G362" s="408"/>
      <c r="H362" s="471">
        <v>1630.89</v>
      </c>
      <c r="I362" s="308">
        <v>0.10618</v>
      </c>
      <c r="J362" s="460">
        <v>1.8519999999999998E-2</v>
      </c>
      <c r="K362" s="245"/>
      <c r="L362" s="245"/>
      <c r="M362" s="245"/>
      <c r="N362" s="245"/>
      <c r="O362" s="245"/>
      <c r="P362" s="245"/>
      <c r="Q362" s="245"/>
      <c r="R362" s="245"/>
      <c r="S362" s="245"/>
      <c r="T362" s="245"/>
      <c r="U362" s="245"/>
      <c r="V362" s="245"/>
      <c r="W362" s="245"/>
      <c r="X362" s="245"/>
      <c r="Y362" s="245"/>
      <c r="Z362" s="245"/>
      <c r="AA362" s="245"/>
      <c r="AB362" s="245"/>
    </row>
    <row r="363" spans="1:28" ht="14.1" customHeight="1">
      <c r="A363" s="245"/>
      <c r="B363" s="246"/>
      <c r="C363" s="433" t="s">
        <v>1666</v>
      </c>
      <c r="D363" s="458"/>
      <c r="E363" s="458"/>
      <c r="F363" s="458"/>
      <c r="G363" s="408"/>
      <c r="H363" s="471">
        <v>1905.18</v>
      </c>
      <c r="I363" s="308">
        <v>3.5249999999999997E-2</v>
      </c>
      <c r="J363" s="460">
        <v>2.998E-2</v>
      </c>
      <c r="K363" s="245"/>
      <c r="L363" s="245"/>
      <c r="M363" s="245"/>
      <c r="N363" s="245"/>
      <c r="O363" s="245"/>
      <c r="P363" s="245"/>
      <c r="Q363" s="245"/>
      <c r="R363" s="245"/>
      <c r="S363" s="245"/>
      <c r="T363" s="245"/>
      <c r="U363" s="245"/>
      <c r="V363" s="245"/>
      <c r="W363" s="245"/>
      <c r="X363" s="245"/>
      <c r="Y363" s="245"/>
      <c r="Z363" s="245"/>
      <c r="AA363" s="245"/>
      <c r="AB363" s="245"/>
    </row>
    <row r="364" spans="1:28" ht="14.1" customHeight="1">
      <c r="A364" s="245"/>
      <c r="B364" s="246"/>
      <c r="C364" s="433" t="s">
        <v>1667</v>
      </c>
      <c r="D364" s="458"/>
      <c r="E364" s="458"/>
      <c r="F364" s="458"/>
      <c r="G364" s="408"/>
      <c r="H364" s="471">
        <v>1988.69</v>
      </c>
      <c r="I364" s="308">
        <v>5.3589999999999999E-2</v>
      </c>
      <c r="J364" s="460">
        <v>3.2980000000000002E-2</v>
      </c>
      <c r="K364" s="245"/>
      <c r="L364" s="245"/>
      <c r="M364" s="245"/>
      <c r="N364" s="245"/>
      <c r="O364" s="245"/>
      <c r="P364" s="245"/>
      <c r="Q364" s="245"/>
      <c r="R364" s="245"/>
      <c r="S364" s="245"/>
      <c r="T364" s="245"/>
      <c r="U364" s="245"/>
      <c r="V364" s="245"/>
      <c r="W364" s="245"/>
      <c r="X364" s="245"/>
      <c r="Y364" s="245"/>
      <c r="Z364" s="245"/>
      <c r="AA364" s="245"/>
      <c r="AB364" s="245"/>
    </row>
    <row r="365" spans="1:28" ht="14.1" customHeight="1">
      <c r="A365" s="245"/>
      <c r="B365" s="246"/>
      <c r="C365" s="433" t="s">
        <v>1668</v>
      </c>
      <c r="D365" s="458"/>
      <c r="E365" s="458"/>
      <c r="F365" s="458"/>
      <c r="G365" s="408"/>
      <c r="H365" s="471">
        <v>1204.9100000000001</v>
      </c>
      <c r="I365" s="308">
        <v>6.0690000000000001E-2</v>
      </c>
      <c r="J365" s="460">
        <v>1.341E-2</v>
      </c>
      <c r="K365" s="245"/>
      <c r="L365" s="245"/>
      <c r="M365" s="245"/>
      <c r="N365" s="245"/>
      <c r="O365" s="245"/>
      <c r="P365" s="245"/>
      <c r="Q365" s="245"/>
      <c r="R365" s="245"/>
      <c r="S365" s="245"/>
      <c r="T365" s="245"/>
      <c r="U365" s="245"/>
      <c r="V365" s="245"/>
      <c r="W365" s="245"/>
      <c r="X365" s="245"/>
      <c r="Y365" s="245"/>
      <c r="Z365" s="245"/>
      <c r="AA365" s="245"/>
      <c r="AB365" s="245"/>
    </row>
    <row r="366" spans="1:28" ht="14.1" customHeight="1">
      <c r="A366" s="245"/>
      <c r="B366" s="246"/>
      <c r="C366" s="433" t="s">
        <v>1669</v>
      </c>
      <c r="D366" s="458"/>
      <c r="E366" s="458"/>
      <c r="F366" s="458"/>
      <c r="G366" s="408"/>
      <c r="H366" s="471">
        <v>1279.58</v>
      </c>
      <c r="I366" s="308">
        <v>4.3310000000000001E-2</v>
      </c>
      <c r="J366" s="460">
        <v>1.575E-2</v>
      </c>
      <c r="K366" s="245"/>
      <c r="L366" s="245"/>
      <c r="M366" s="245"/>
      <c r="N366" s="245"/>
      <c r="O366" s="245"/>
      <c r="P366" s="245"/>
      <c r="Q366" s="245"/>
      <c r="R366" s="245"/>
      <c r="S366" s="245"/>
      <c r="T366" s="245"/>
      <c r="U366" s="245"/>
      <c r="V366" s="245"/>
      <c r="W366" s="245"/>
      <c r="X366" s="245"/>
      <c r="Y366" s="245"/>
      <c r="Z366" s="245"/>
      <c r="AA366" s="245"/>
      <c r="AB366" s="245"/>
    </row>
    <row r="367" spans="1:28" ht="14.1" customHeight="1">
      <c r="A367" s="245"/>
      <c r="B367" s="246"/>
      <c r="C367" s="433" t="s">
        <v>1670</v>
      </c>
      <c r="D367" s="458"/>
      <c r="E367" s="458"/>
      <c r="F367" s="458"/>
      <c r="G367" s="408"/>
      <c r="H367" s="471">
        <v>1234.06</v>
      </c>
      <c r="I367" s="308">
        <v>3.7650000000000003E-2</v>
      </c>
      <c r="J367" s="460">
        <v>4.8799999999999998E-3</v>
      </c>
      <c r="K367" s="245"/>
      <c r="L367" s="245"/>
      <c r="M367" s="245"/>
      <c r="N367" s="245"/>
      <c r="O367" s="245"/>
      <c r="P367" s="245"/>
      <c r="Q367" s="245"/>
      <c r="R367" s="245"/>
      <c r="S367" s="245"/>
      <c r="T367" s="245"/>
      <c r="U367" s="245"/>
      <c r="V367" s="245"/>
      <c r="W367" s="245"/>
      <c r="X367" s="245"/>
      <c r="Y367" s="245"/>
      <c r="Z367" s="245"/>
      <c r="AA367" s="245"/>
      <c r="AB367" s="245"/>
    </row>
    <row r="368" spans="1:28" ht="14.1" customHeight="1">
      <c r="A368" s="245"/>
      <c r="B368" s="246"/>
      <c r="C368" s="433" t="s">
        <v>1671</v>
      </c>
      <c r="D368" s="458"/>
      <c r="E368" s="458"/>
      <c r="F368" s="458"/>
      <c r="G368" s="408"/>
      <c r="H368" s="471">
        <v>1397.8</v>
      </c>
      <c r="I368" s="308">
        <v>4.4080000000000001E-2</v>
      </c>
      <c r="J368" s="460">
        <v>6.9899999999999997E-3</v>
      </c>
      <c r="K368" s="245"/>
      <c r="L368" s="245"/>
      <c r="M368" s="245"/>
      <c r="N368" s="245"/>
      <c r="O368" s="245"/>
      <c r="P368" s="245"/>
      <c r="Q368" s="245"/>
      <c r="R368" s="245"/>
      <c r="S368" s="245"/>
      <c r="T368" s="245"/>
      <c r="U368" s="245"/>
      <c r="V368" s="245"/>
      <c r="W368" s="245"/>
      <c r="X368" s="245"/>
      <c r="Y368" s="245"/>
      <c r="Z368" s="245"/>
      <c r="AA368" s="245"/>
      <c r="AB368" s="245"/>
    </row>
    <row r="369" spans="1:28" ht="14.1" customHeight="1">
      <c r="A369" s="245"/>
      <c r="B369" s="246"/>
      <c r="C369" s="433" t="s">
        <v>1672</v>
      </c>
      <c r="D369" s="458"/>
      <c r="E369" s="458"/>
      <c r="F369" s="458"/>
      <c r="G369" s="408"/>
      <c r="H369" s="471">
        <v>1384.2</v>
      </c>
      <c r="I369" s="308">
        <v>3.1550000000000002E-2</v>
      </c>
      <c r="J369" s="460">
        <v>1.619E-2</v>
      </c>
      <c r="K369" s="245"/>
      <c r="L369" s="245"/>
      <c r="M369" s="245"/>
      <c r="N369" s="245"/>
      <c r="O369" s="245"/>
      <c r="P369" s="245"/>
      <c r="Q369" s="245"/>
      <c r="R369" s="245"/>
      <c r="S369" s="245"/>
      <c r="T369" s="245"/>
      <c r="U369" s="245"/>
      <c r="V369" s="245"/>
      <c r="W369" s="245"/>
      <c r="X369" s="245"/>
      <c r="Y369" s="245"/>
      <c r="Z369" s="245"/>
      <c r="AA369" s="245"/>
      <c r="AB369" s="245"/>
    </row>
    <row r="370" spans="1:28" ht="14.1" customHeight="1">
      <c r="A370" s="245"/>
      <c r="B370" s="246"/>
      <c r="C370" s="433" t="s">
        <v>1673</v>
      </c>
      <c r="D370" s="458"/>
      <c r="E370" s="458"/>
      <c r="F370" s="458"/>
      <c r="G370" s="408"/>
      <c r="H370" s="471">
        <v>1671.96</v>
      </c>
      <c r="I370" s="308">
        <v>3.329E-2</v>
      </c>
      <c r="J370" s="460">
        <v>2.2190000000000001E-2</v>
      </c>
      <c r="K370" s="245"/>
      <c r="L370" s="245"/>
      <c r="M370" s="245"/>
      <c r="N370" s="245"/>
      <c r="O370" s="245"/>
      <c r="P370" s="245"/>
      <c r="Q370" s="245"/>
      <c r="R370" s="245"/>
      <c r="S370" s="245"/>
      <c r="T370" s="245"/>
      <c r="U370" s="245"/>
      <c r="V370" s="245"/>
      <c r="W370" s="245"/>
      <c r="X370" s="245"/>
      <c r="Y370" s="245"/>
      <c r="Z370" s="245"/>
      <c r="AA370" s="245"/>
      <c r="AB370" s="245"/>
    </row>
    <row r="371" spans="1:28" ht="14.1" customHeight="1">
      <c r="A371" s="245"/>
      <c r="B371" s="246"/>
      <c r="C371" s="433" t="s">
        <v>1674</v>
      </c>
      <c r="D371" s="458"/>
      <c r="E371" s="458"/>
      <c r="F371" s="458"/>
      <c r="G371" s="408"/>
      <c r="H371" s="471">
        <v>1803.64</v>
      </c>
      <c r="I371" s="308">
        <v>3.209E-2</v>
      </c>
      <c r="J371" s="460">
        <v>2.733E-2</v>
      </c>
      <c r="K371" s="245"/>
      <c r="L371" s="245"/>
      <c r="M371" s="245"/>
      <c r="N371" s="245"/>
      <c r="O371" s="245"/>
      <c r="P371" s="245"/>
      <c r="Q371" s="245"/>
      <c r="R371" s="245"/>
      <c r="S371" s="245"/>
      <c r="T371" s="245"/>
      <c r="U371" s="245"/>
      <c r="V371" s="245"/>
      <c r="W371" s="245"/>
      <c r="X371" s="245"/>
      <c r="Y371" s="245"/>
      <c r="Z371" s="245"/>
      <c r="AA371" s="245"/>
      <c r="AB371" s="245"/>
    </row>
    <row r="372" spans="1:28" ht="14.1" customHeight="1">
      <c r="A372" s="245"/>
      <c r="B372" s="246"/>
      <c r="C372" s="433" t="s">
        <v>1675</v>
      </c>
      <c r="D372" s="458"/>
      <c r="E372" s="458"/>
      <c r="F372" s="458"/>
      <c r="G372" s="408"/>
      <c r="H372" s="471">
        <v>1982.05</v>
      </c>
      <c r="I372" s="308">
        <v>2.4299999999999999E-2</v>
      </c>
      <c r="J372" s="460">
        <v>3.1480000000000001E-2</v>
      </c>
      <c r="K372" s="245"/>
      <c r="L372" s="245"/>
      <c r="M372" s="245"/>
      <c r="N372" s="245"/>
      <c r="O372" s="245"/>
      <c r="P372" s="245"/>
      <c r="Q372" s="245"/>
      <c r="R372" s="245"/>
      <c r="S372" s="245"/>
      <c r="T372" s="245"/>
      <c r="U372" s="245"/>
      <c r="V372" s="245"/>
      <c r="W372" s="245"/>
      <c r="X372" s="245"/>
      <c r="Y372" s="245"/>
      <c r="Z372" s="245"/>
      <c r="AA372" s="245"/>
      <c r="AB372" s="245"/>
    </row>
    <row r="373" spans="1:28" ht="14.1" customHeight="1">
      <c r="A373" s="245"/>
      <c r="B373" s="246"/>
      <c r="C373" s="433" t="s">
        <v>1676</v>
      </c>
      <c r="D373" s="458"/>
      <c r="E373" s="458"/>
      <c r="F373" s="458"/>
      <c r="G373" s="408"/>
      <c r="H373" s="471">
        <v>1554.38</v>
      </c>
      <c r="I373" s="308">
        <v>2.317E-2</v>
      </c>
      <c r="J373" s="460">
        <v>1.6449999999999999E-2</v>
      </c>
      <c r="K373" s="245"/>
      <c r="L373" s="245"/>
      <c r="M373" s="245"/>
      <c r="N373" s="245"/>
      <c r="O373" s="245"/>
      <c r="P373" s="245"/>
      <c r="Q373" s="245"/>
      <c r="R373" s="245"/>
      <c r="S373" s="245"/>
      <c r="T373" s="245"/>
      <c r="U373" s="245"/>
      <c r="V373" s="245"/>
      <c r="W373" s="245"/>
      <c r="X373" s="245"/>
      <c r="Y373" s="245"/>
      <c r="Z373" s="245"/>
      <c r="AA373" s="245"/>
      <c r="AB373" s="245"/>
    </row>
    <row r="374" spans="1:28" ht="14.1" customHeight="1">
      <c r="A374" s="245"/>
      <c r="B374" s="246"/>
      <c r="C374" s="433" t="s">
        <v>1677</v>
      </c>
      <c r="D374" s="458"/>
      <c r="E374" s="458"/>
      <c r="F374" s="458"/>
      <c r="G374" s="408"/>
      <c r="H374" s="471">
        <v>1958.22</v>
      </c>
      <c r="I374" s="308">
        <v>2.5399999999999999E-2</v>
      </c>
      <c r="J374" s="460">
        <v>2.775E-2</v>
      </c>
      <c r="K374" s="245"/>
      <c r="L374" s="245"/>
      <c r="M374" s="245"/>
      <c r="N374" s="245"/>
      <c r="O374" s="245"/>
      <c r="P374" s="245"/>
      <c r="Q374" s="245"/>
      <c r="R374" s="245"/>
      <c r="S374" s="245"/>
      <c r="T374" s="245"/>
      <c r="U374" s="245"/>
      <c r="V374" s="245"/>
      <c r="W374" s="245"/>
      <c r="X374" s="245"/>
      <c r="Y374" s="245"/>
      <c r="Z374" s="245"/>
      <c r="AA374" s="245"/>
      <c r="AB374" s="245"/>
    </row>
    <row r="375" spans="1:28" ht="14.1" customHeight="1">
      <c r="A375" s="245"/>
      <c r="B375" s="246"/>
      <c r="C375" s="433" t="s">
        <v>1678</v>
      </c>
      <c r="D375" s="458"/>
      <c r="E375" s="458"/>
      <c r="F375" s="458"/>
      <c r="G375" s="408"/>
      <c r="H375" s="471">
        <v>1435.24</v>
      </c>
      <c r="I375" s="308">
        <v>2.503E-2</v>
      </c>
      <c r="J375" s="460">
        <v>1.3140000000000001E-2</v>
      </c>
      <c r="K375" s="245"/>
      <c r="L375" s="245"/>
      <c r="M375" s="245"/>
      <c r="N375" s="245"/>
      <c r="O375" s="245"/>
      <c r="P375" s="245"/>
      <c r="Q375" s="245"/>
      <c r="R375" s="245"/>
      <c r="S375" s="245"/>
      <c r="T375" s="245"/>
      <c r="U375" s="245"/>
      <c r="V375" s="245"/>
      <c r="W375" s="245"/>
      <c r="X375" s="245"/>
      <c r="Y375" s="245"/>
      <c r="Z375" s="245"/>
      <c r="AA375" s="245"/>
      <c r="AB375" s="245"/>
    </row>
    <row r="376" spans="1:28" ht="14.1" customHeight="1">
      <c r="A376" s="245"/>
      <c r="B376" s="246"/>
      <c r="C376" s="433" t="s">
        <v>1679</v>
      </c>
      <c r="D376" s="458"/>
      <c r="E376" s="458"/>
      <c r="F376" s="458"/>
      <c r="G376" s="408"/>
      <c r="H376" s="471">
        <v>1171.05</v>
      </c>
      <c r="I376" s="308">
        <v>2.8250000000000001E-2</v>
      </c>
      <c r="J376" s="460">
        <v>6.9100000000000003E-3</v>
      </c>
      <c r="K376" s="245"/>
      <c r="L376" s="245"/>
      <c r="M376" s="245"/>
      <c r="N376" s="245"/>
      <c r="O376" s="245"/>
      <c r="P376" s="245"/>
      <c r="Q376" s="245"/>
      <c r="R376" s="245"/>
      <c r="S376" s="245"/>
      <c r="T376" s="245"/>
      <c r="U376" s="245"/>
      <c r="V376" s="245"/>
      <c r="W376" s="245"/>
      <c r="X376" s="245"/>
      <c r="Y376" s="245"/>
      <c r="Z376" s="245"/>
      <c r="AA376" s="245"/>
      <c r="AB376" s="245"/>
    </row>
    <row r="377" spans="1:28" ht="14.1" customHeight="1">
      <c r="A377" s="245"/>
      <c r="B377" s="246"/>
      <c r="C377" s="433" t="s">
        <v>1680</v>
      </c>
      <c r="D377" s="458"/>
      <c r="E377" s="458"/>
      <c r="F377" s="458"/>
      <c r="G377" s="408"/>
      <c r="H377" s="471">
        <v>1945.66</v>
      </c>
      <c r="I377" s="308">
        <v>2.402E-2</v>
      </c>
      <c r="J377" s="460">
        <v>2.9690000000000001E-2</v>
      </c>
      <c r="K377" s="245"/>
      <c r="L377" s="245"/>
      <c r="M377" s="245"/>
      <c r="N377" s="245"/>
      <c r="O377" s="245"/>
      <c r="P377" s="245"/>
      <c r="Q377" s="245"/>
      <c r="R377" s="245"/>
      <c r="S377" s="245"/>
      <c r="T377" s="245"/>
      <c r="U377" s="245"/>
      <c r="V377" s="245"/>
      <c r="W377" s="245"/>
      <c r="X377" s="245"/>
      <c r="Y377" s="245"/>
      <c r="Z377" s="245"/>
      <c r="AA377" s="245"/>
      <c r="AB377" s="245"/>
    </row>
    <row r="378" spans="1:28" ht="14.1" customHeight="1">
      <c r="A378" s="245"/>
      <c r="B378" s="246"/>
      <c r="C378" s="433" t="s">
        <v>1681</v>
      </c>
      <c r="D378" s="458"/>
      <c r="E378" s="458"/>
      <c r="F378" s="458"/>
      <c r="G378" s="408"/>
      <c r="H378" s="471">
        <v>1551.05</v>
      </c>
      <c r="I378" s="308">
        <v>2.8500000000000001E-2</v>
      </c>
      <c r="J378" s="460">
        <v>2.1690000000000001E-2</v>
      </c>
      <c r="K378" s="245"/>
      <c r="L378" s="245"/>
      <c r="M378" s="245"/>
      <c r="N378" s="245"/>
      <c r="O378" s="245"/>
      <c r="P378" s="245"/>
      <c r="Q378" s="245"/>
      <c r="R378" s="245"/>
      <c r="S378" s="245"/>
      <c r="T378" s="245"/>
      <c r="U378" s="245"/>
      <c r="V378" s="245"/>
      <c r="W378" s="245"/>
      <c r="X378" s="245"/>
      <c r="Y378" s="245"/>
      <c r="Z378" s="245"/>
      <c r="AA378" s="245"/>
      <c r="AB378" s="245"/>
    </row>
    <row r="379" spans="1:28" ht="14.1" customHeight="1">
      <c r="A379" s="245"/>
      <c r="B379" s="246"/>
      <c r="C379" s="433" t="s">
        <v>1682</v>
      </c>
      <c r="D379" s="458"/>
      <c r="E379" s="458"/>
      <c r="F379" s="458"/>
      <c r="G379" s="408"/>
      <c r="H379" s="471">
        <v>1917.25</v>
      </c>
      <c r="I379" s="308">
        <v>2.598E-2</v>
      </c>
      <c r="J379" s="460">
        <v>3.005E-2</v>
      </c>
      <c r="K379" s="245"/>
      <c r="L379" s="245"/>
      <c r="M379" s="245"/>
      <c r="N379" s="245"/>
      <c r="O379" s="245"/>
      <c r="P379" s="245"/>
      <c r="Q379" s="245"/>
      <c r="R379" s="245"/>
      <c r="S379" s="245"/>
      <c r="T379" s="245"/>
      <c r="U379" s="245"/>
      <c r="V379" s="245"/>
      <c r="W379" s="245"/>
      <c r="X379" s="245"/>
      <c r="Y379" s="245"/>
      <c r="Z379" s="245"/>
      <c r="AA379" s="245"/>
      <c r="AB379" s="245"/>
    </row>
    <row r="380" spans="1:28" ht="14.1" customHeight="1">
      <c r="A380" s="245"/>
      <c r="B380" s="246"/>
      <c r="C380" s="433" t="s">
        <v>1683</v>
      </c>
      <c r="D380" s="458"/>
      <c r="E380" s="458"/>
      <c r="F380" s="458"/>
      <c r="G380" s="408"/>
      <c r="H380" s="471">
        <v>1661.11</v>
      </c>
      <c r="I380" s="308">
        <v>3.8010000000000002E-2</v>
      </c>
      <c r="J380" s="460">
        <v>2.4510000000000001E-2</v>
      </c>
      <c r="K380" s="245"/>
      <c r="L380" s="245"/>
      <c r="M380" s="245"/>
      <c r="N380" s="245"/>
      <c r="O380" s="245"/>
      <c r="P380" s="245"/>
      <c r="Q380" s="245"/>
      <c r="R380" s="245"/>
      <c r="S380" s="245"/>
      <c r="T380" s="245"/>
      <c r="U380" s="245"/>
      <c r="V380" s="245"/>
      <c r="W380" s="245"/>
      <c r="X380" s="245"/>
      <c r="Y380" s="245"/>
      <c r="Z380" s="245"/>
      <c r="AA380" s="245"/>
      <c r="AB380" s="245"/>
    </row>
    <row r="381" spans="1:28" ht="14.1" customHeight="1" thickBot="1">
      <c r="A381" s="245"/>
      <c r="B381" s="246"/>
      <c r="C381" s="461" t="s">
        <v>1692</v>
      </c>
      <c r="D381" s="462"/>
      <c r="E381" s="462"/>
      <c r="F381" s="462"/>
      <c r="G381" s="463"/>
      <c r="H381" s="472">
        <v>1520.21</v>
      </c>
      <c r="I381" s="465">
        <v>3.2230000000000002E-2</v>
      </c>
      <c r="J381" s="466">
        <v>1.8409999999999999E-2</v>
      </c>
      <c r="K381" s="245"/>
      <c r="L381" s="245"/>
      <c r="M381" s="245"/>
      <c r="N381" s="245"/>
      <c r="O381" s="245"/>
      <c r="P381" s="245"/>
      <c r="Q381" s="245"/>
      <c r="R381" s="245"/>
      <c r="S381" s="245"/>
      <c r="T381" s="245"/>
      <c r="U381" s="245"/>
      <c r="V381" s="245"/>
      <c r="W381" s="245"/>
      <c r="X381" s="245"/>
      <c r="Y381" s="245"/>
      <c r="Z381" s="245"/>
      <c r="AA381" s="245"/>
      <c r="AB381" s="245"/>
    </row>
    <row r="382" spans="1:28" ht="24" customHeight="1">
      <c r="A382" s="245"/>
      <c r="B382" s="246"/>
      <c r="C382" s="1047" t="s">
        <v>1684</v>
      </c>
      <c r="D382" s="1047"/>
      <c r="E382" s="1047"/>
      <c r="F382" s="1047"/>
      <c r="G382" s="245"/>
      <c r="H382" s="245"/>
      <c r="I382" s="245"/>
      <c r="J382" s="245"/>
      <c r="K382" s="245"/>
      <c r="L382" s="245"/>
      <c r="M382" s="245"/>
      <c r="N382" s="245"/>
      <c r="O382" s="245"/>
      <c r="P382" s="245"/>
      <c r="Q382" s="245"/>
      <c r="R382" s="245"/>
      <c r="S382" s="245"/>
      <c r="T382" s="245"/>
      <c r="U382" s="245"/>
      <c r="V382" s="245"/>
      <c r="W382" s="245"/>
      <c r="X382" s="245"/>
      <c r="Y382" s="245"/>
      <c r="Z382" s="245"/>
      <c r="AA382" s="245"/>
      <c r="AB382" s="245"/>
    </row>
    <row r="383" spans="1:28" ht="14.1" customHeight="1">
      <c r="A383" s="245"/>
      <c r="B383" s="246"/>
      <c r="D383" s="245"/>
      <c r="E383" s="245"/>
      <c r="F383" s="245"/>
      <c r="G383" s="245"/>
      <c r="H383" s="245"/>
      <c r="I383" s="245"/>
      <c r="J383" s="245"/>
      <c r="K383" s="245"/>
      <c r="L383" s="245"/>
      <c r="M383" s="245"/>
      <c r="N383" s="245"/>
      <c r="O383" s="245"/>
      <c r="P383" s="245"/>
      <c r="Q383" s="245"/>
      <c r="R383" s="245"/>
      <c r="S383" s="245"/>
      <c r="T383" s="245"/>
      <c r="U383" s="245"/>
      <c r="V383" s="245"/>
      <c r="W383" s="245"/>
      <c r="X383" s="245"/>
      <c r="Y383" s="245"/>
      <c r="Z383" s="245"/>
      <c r="AA383" s="245"/>
      <c r="AB383" s="245"/>
    </row>
    <row r="384" spans="1:28" ht="14.1" customHeight="1">
      <c r="A384" s="245"/>
      <c r="B384" s="246"/>
      <c r="C384" s="245"/>
      <c r="D384" s="245"/>
      <c r="E384" s="245"/>
      <c r="F384" s="245"/>
      <c r="G384" s="245"/>
      <c r="H384" s="245"/>
      <c r="I384" s="245"/>
      <c r="J384" s="245"/>
      <c r="K384" s="245"/>
      <c r="L384" s="245"/>
      <c r="M384" s="245"/>
      <c r="N384" s="245"/>
      <c r="O384" s="245"/>
      <c r="P384" s="245"/>
      <c r="Q384" s="245"/>
      <c r="R384" s="245"/>
      <c r="S384" s="245"/>
      <c r="T384" s="245"/>
      <c r="U384" s="245"/>
      <c r="V384" s="245"/>
      <c r="W384" s="245"/>
      <c r="X384" s="245"/>
      <c r="Y384" s="245"/>
      <c r="Z384" s="245"/>
      <c r="AA384" s="245"/>
      <c r="AB384" s="245"/>
    </row>
    <row r="385" spans="1:28" ht="14.1" customHeight="1">
      <c r="A385" s="245"/>
      <c r="B385" s="246"/>
      <c r="C385" s="245"/>
      <c r="D385" s="245"/>
      <c r="E385" s="245"/>
      <c r="F385" s="245"/>
      <c r="G385" s="245"/>
      <c r="H385" s="245"/>
      <c r="I385" s="245"/>
      <c r="J385" s="245"/>
      <c r="K385" s="245"/>
      <c r="L385" s="245"/>
      <c r="M385" s="245"/>
      <c r="N385" s="245"/>
      <c r="O385" s="245"/>
      <c r="P385" s="245"/>
      <c r="Q385" s="245"/>
      <c r="R385" s="245"/>
      <c r="S385" s="245"/>
      <c r="T385" s="245"/>
      <c r="U385" s="245"/>
      <c r="V385" s="245"/>
      <c r="W385" s="245"/>
      <c r="X385" s="245"/>
      <c r="Y385" s="245"/>
      <c r="Z385" s="245"/>
      <c r="AA385" s="245"/>
      <c r="AB385" s="245"/>
    </row>
    <row r="386" spans="1:28" ht="18" customHeight="1">
      <c r="A386" s="245"/>
      <c r="B386" s="376" t="s">
        <v>1693</v>
      </c>
      <c r="C386" s="377" t="s">
        <v>1694</v>
      </c>
      <c r="D386" s="473"/>
      <c r="E386" s="473"/>
      <c r="F386" s="378"/>
      <c r="G386" s="378"/>
      <c r="H386" s="378"/>
      <c r="I386" s="378"/>
      <c r="J386" s="378"/>
      <c r="K386" s="378"/>
      <c r="L386" s="379"/>
      <c r="M386" s="245"/>
      <c r="N386" s="245"/>
      <c r="O386" s="245"/>
      <c r="P386" s="245"/>
      <c r="Q386" s="245"/>
      <c r="R386" s="245"/>
      <c r="S386" s="245"/>
      <c r="T386" s="245"/>
      <c r="U386" s="245"/>
      <c r="V386" s="245"/>
      <c r="W386" s="245"/>
      <c r="X386" s="245"/>
      <c r="Y386" s="245"/>
      <c r="Z386" s="245"/>
      <c r="AA386" s="245"/>
      <c r="AB386" s="245"/>
    </row>
    <row r="387" spans="1:28" s="280" customFormat="1" ht="14.1" customHeight="1" thickBot="1">
      <c r="A387" s="245"/>
      <c r="B387" s="437"/>
      <c r="C387" s="469"/>
      <c r="D387" s="469"/>
      <c r="E387" s="469"/>
      <c r="F387" s="245"/>
      <c r="G387" s="245"/>
      <c r="H387" s="245"/>
      <c r="I387" s="245"/>
      <c r="J387" s="245"/>
      <c r="K387" s="245"/>
      <c r="L387" s="245"/>
      <c r="M387" s="245"/>
      <c r="N387" s="245"/>
      <c r="O387" s="245"/>
      <c r="P387" s="245"/>
      <c r="Q387" s="245"/>
      <c r="R387" s="245"/>
      <c r="S387" s="245"/>
      <c r="T387" s="245"/>
      <c r="U387" s="245"/>
      <c r="V387" s="245"/>
      <c r="W387" s="245"/>
      <c r="X387" s="245"/>
      <c r="Y387" s="245"/>
      <c r="Z387" s="245"/>
      <c r="AA387" s="245"/>
      <c r="AB387" s="245"/>
    </row>
    <row r="388" spans="1:28" ht="32.1" customHeight="1" thickBot="1">
      <c r="A388" s="245"/>
      <c r="B388" s="246"/>
      <c r="C388" s="421" t="s">
        <v>1501</v>
      </c>
      <c r="D388" s="382" t="s">
        <v>1695</v>
      </c>
      <c r="E388" s="382" t="s">
        <v>1696</v>
      </c>
      <c r="F388" s="382" t="s">
        <v>1697</v>
      </c>
      <c r="G388" s="383" t="s">
        <v>1698</v>
      </c>
      <c r="H388" s="245"/>
      <c r="I388" s="245"/>
      <c r="J388" s="245"/>
      <c r="K388" s="245"/>
      <c r="L388" s="245"/>
      <c r="M388" s="245"/>
      <c r="N388" s="245"/>
      <c r="O388" s="245"/>
      <c r="P388" s="245"/>
      <c r="Q388" s="245"/>
      <c r="R388" s="245"/>
      <c r="S388" s="245"/>
      <c r="T388" s="245"/>
      <c r="U388" s="245"/>
      <c r="V388" s="245"/>
      <c r="W388" s="245"/>
      <c r="X388" s="245"/>
      <c r="Y388" s="245"/>
      <c r="Z388" s="245"/>
      <c r="AA388" s="245"/>
      <c r="AB388" s="245"/>
    </row>
    <row r="389" spans="1:28" ht="14.1" customHeight="1">
      <c r="A389" s="245"/>
      <c r="B389" s="246"/>
      <c r="C389" s="474" t="s">
        <v>1699</v>
      </c>
      <c r="D389" s="475">
        <v>0.36399999999999999</v>
      </c>
      <c r="E389" s="475">
        <v>3.1E-2</v>
      </c>
      <c r="F389" s="475">
        <v>3.2000000000000001E-2</v>
      </c>
      <c r="G389" s="476" t="s">
        <v>1700</v>
      </c>
      <c r="H389" s="245"/>
      <c r="I389" s="245"/>
      <c r="J389" s="245"/>
      <c r="K389" s="245"/>
      <c r="L389" s="245"/>
      <c r="M389" s="245"/>
      <c r="N389" s="245"/>
      <c r="O389" s="245"/>
      <c r="P389" s="245"/>
      <c r="Q389" s="245"/>
      <c r="R389" s="245"/>
      <c r="S389" s="245"/>
      <c r="T389" s="245"/>
      <c r="U389" s="245"/>
      <c r="V389" s="245"/>
      <c r="W389" s="245"/>
      <c r="X389" s="245"/>
      <c r="Y389" s="245"/>
      <c r="Z389" s="245"/>
      <c r="AA389" s="245"/>
      <c r="AB389" s="245"/>
    </row>
    <row r="390" spans="1:28" ht="14.1" customHeight="1">
      <c r="A390" s="245"/>
      <c r="B390" s="246"/>
      <c r="C390" s="477" t="s">
        <v>1701</v>
      </c>
      <c r="D390" s="328">
        <v>0.51900000000000002</v>
      </c>
      <c r="E390" s="328">
        <v>3.5999999999999997E-2</v>
      </c>
      <c r="F390" s="328">
        <v>4.7E-2</v>
      </c>
      <c r="G390" s="478" t="s">
        <v>1700</v>
      </c>
      <c r="H390" s="245"/>
      <c r="I390" s="245"/>
      <c r="J390" s="245"/>
      <c r="K390" s="245"/>
      <c r="L390" s="245"/>
      <c r="M390" s="245"/>
      <c r="N390" s="245"/>
      <c r="O390" s="245"/>
      <c r="P390" s="245"/>
      <c r="Q390" s="245"/>
      <c r="R390" s="245"/>
      <c r="S390" s="245"/>
      <c r="T390" s="245"/>
      <c r="U390" s="245"/>
      <c r="V390" s="245"/>
      <c r="W390" s="245"/>
      <c r="X390" s="245"/>
      <c r="Y390" s="245"/>
      <c r="Z390" s="245"/>
      <c r="AA390" s="245"/>
      <c r="AB390" s="245"/>
    </row>
    <row r="391" spans="1:28" ht="14.1" customHeight="1">
      <c r="A391" s="245"/>
      <c r="B391" s="246"/>
      <c r="C391" s="477" t="s">
        <v>1702</v>
      </c>
      <c r="D391" s="328">
        <v>0.16700000000000001</v>
      </c>
      <c r="E391" s="328">
        <v>7.0000000000000007E-2</v>
      </c>
      <c r="F391" s="328">
        <v>7.0000000000000001E-3</v>
      </c>
      <c r="G391" s="478" t="s">
        <v>1700</v>
      </c>
      <c r="H391" s="245"/>
      <c r="I391" s="245"/>
      <c r="J391" s="245"/>
      <c r="K391" s="245"/>
      <c r="L391" s="245"/>
      <c r="M391" s="245"/>
      <c r="N391" s="245"/>
      <c r="O391" s="245"/>
      <c r="P391" s="245"/>
      <c r="Q391" s="245"/>
      <c r="R391" s="245"/>
      <c r="S391" s="245"/>
      <c r="T391" s="245"/>
      <c r="U391" s="245"/>
      <c r="V391" s="245"/>
      <c r="W391" s="245"/>
      <c r="X391" s="245"/>
      <c r="Y391" s="245"/>
      <c r="Z391" s="245"/>
      <c r="AA391" s="245"/>
      <c r="AB391" s="245"/>
    </row>
    <row r="392" spans="1:28" ht="14.1" customHeight="1">
      <c r="A392" s="245"/>
      <c r="B392" s="246"/>
      <c r="C392" s="477" t="s">
        <v>1703</v>
      </c>
      <c r="D392" s="479">
        <v>0.185</v>
      </c>
      <c r="E392" s="328">
        <v>2E-3</v>
      </c>
      <c r="F392" s="328">
        <v>1E-3</v>
      </c>
      <c r="G392" s="480" t="s">
        <v>1704</v>
      </c>
      <c r="H392" s="245"/>
      <c r="I392" s="245"/>
      <c r="J392" s="245"/>
      <c r="K392" s="245"/>
      <c r="L392" s="245"/>
      <c r="M392" s="245"/>
      <c r="N392" s="245"/>
      <c r="O392" s="245"/>
      <c r="P392" s="245"/>
      <c r="Q392" s="245"/>
      <c r="R392" s="245"/>
      <c r="S392" s="245"/>
      <c r="T392" s="245"/>
      <c r="U392" s="245"/>
      <c r="V392" s="245"/>
      <c r="W392" s="245"/>
      <c r="X392" s="245"/>
      <c r="Y392" s="245"/>
      <c r="Z392" s="245"/>
      <c r="AA392" s="245"/>
      <c r="AB392" s="245"/>
    </row>
    <row r="393" spans="1:28" ht="14.1" customHeight="1">
      <c r="A393" s="245"/>
      <c r="B393" s="246"/>
      <c r="C393" s="481" t="s">
        <v>1705</v>
      </c>
      <c r="D393" s="328">
        <v>0.17199999999999999</v>
      </c>
      <c r="E393" s="482">
        <v>2E-3</v>
      </c>
      <c r="F393" s="328">
        <v>1E-3</v>
      </c>
      <c r="G393" s="480" t="s">
        <v>1704</v>
      </c>
      <c r="H393" s="245"/>
      <c r="I393" s="245"/>
      <c r="J393" s="245"/>
      <c r="K393" s="245"/>
      <c r="L393" s="245"/>
      <c r="M393" s="245"/>
      <c r="N393" s="245"/>
      <c r="O393" s="245"/>
      <c r="P393" s="245"/>
      <c r="Q393" s="245"/>
      <c r="R393" s="245"/>
      <c r="S393" s="245"/>
      <c r="T393" s="245"/>
      <c r="U393" s="245"/>
      <c r="V393" s="245"/>
      <c r="W393" s="245"/>
      <c r="X393" s="245"/>
      <c r="Y393" s="245"/>
      <c r="Z393" s="245"/>
      <c r="AA393" s="245"/>
      <c r="AB393" s="245"/>
    </row>
    <row r="394" spans="1:28" ht="14.1" customHeight="1">
      <c r="A394" s="245"/>
      <c r="B394" s="246"/>
      <c r="C394" s="481" t="s">
        <v>1706</v>
      </c>
      <c r="D394" s="328">
        <v>0.16300000000000001</v>
      </c>
      <c r="E394" s="482">
        <v>4.0000000000000001E-3</v>
      </c>
      <c r="F394" s="328">
        <v>2E-3</v>
      </c>
      <c r="G394" s="480" t="s">
        <v>1704</v>
      </c>
      <c r="H394" s="245"/>
      <c r="I394" s="245"/>
      <c r="J394" s="245"/>
      <c r="K394" s="245"/>
      <c r="L394" s="245"/>
      <c r="M394" s="245"/>
      <c r="N394" s="245"/>
      <c r="O394" s="245"/>
      <c r="P394" s="245"/>
      <c r="Q394" s="245"/>
      <c r="R394" s="245"/>
      <c r="S394" s="245"/>
      <c r="T394" s="245"/>
      <c r="U394" s="245"/>
      <c r="V394" s="245"/>
      <c r="W394" s="245"/>
      <c r="X394" s="245"/>
      <c r="Y394" s="245"/>
      <c r="Z394" s="245"/>
      <c r="AA394" s="245"/>
      <c r="AB394" s="245"/>
    </row>
    <row r="395" spans="1:28" ht="14.1" customHeight="1">
      <c r="A395" s="245"/>
      <c r="B395" s="246"/>
      <c r="C395" s="481" t="s">
        <v>1707</v>
      </c>
      <c r="D395" s="328">
        <v>0.107</v>
      </c>
      <c r="E395" s="483">
        <v>5.9999999999999995E-4</v>
      </c>
      <c r="F395" s="390">
        <v>5.0000000000000001E-4</v>
      </c>
      <c r="G395" s="480" t="s">
        <v>1704</v>
      </c>
      <c r="H395" s="245"/>
      <c r="I395" s="245"/>
      <c r="J395" s="245"/>
      <c r="K395" s="245"/>
      <c r="L395" s="245"/>
      <c r="M395" s="245"/>
      <c r="N395" s="245"/>
      <c r="O395" s="245"/>
      <c r="P395" s="245"/>
      <c r="Q395" s="245"/>
      <c r="R395" s="245"/>
      <c r="S395" s="245"/>
      <c r="T395" s="245"/>
      <c r="U395" s="245"/>
      <c r="V395" s="245"/>
      <c r="W395" s="245"/>
      <c r="X395" s="245"/>
      <c r="Y395" s="245"/>
      <c r="Z395" s="245"/>
      <c r="AA395" s="245"/>
      <c r="AB395" s="245"/>
    </row>
    <row r="396" spans="1:28" ht="14.1" customHeight="1">
      <c r="A396" s="245"/>
      <c r="B396" s="258"/>
      <c r="C396" s="477" t="s">
        <v>1708</v>
      </c>
      <c r="D396" s="475">
        <v>0.28599999999999998</v>
      </c>
      <c r="E396" s="390">
        <v>8.3999999999999995E-3</v>
      </c>
      <c r="F396" s="390">
        <v>9.1000000000000004E-3</v>
      </c>
      <c r="G396" s="480" t="s">
        <v>1704</v>
      </c>
      <c r="H396" s="245"/>
      <c r="I396" s="245"/>
      <c r="J396" s="245"/>
      <c r="K396" s="245"/>
      <c r="L396" s="245"/>
      <c r="M396" s="245"/>
      <c r="N396" s="245"/>
      <c r="O396" s="245"/>
      <c r="P396" s="245"/>
      <c r="Q396" s="245"/>
      <c r="R396" s="245"/>
      <c r="S396" s="245"/>
      <c r="T396" s="245"/>
      <c r="U396" s="245"/>
      <c r="V396" s="245"/>
      <c r="W396" s="245"/>
      <c r="X396" s="245"/>
      <c r="Y396" s="245"/>
      <c r="Z396" s="245"/>
      <c r="AA396" s="245"/>
      <c r="AB396" s="245"/>
    </row>
    <row r="397" spans="1:28" ht="26.4">
      <c r="A397" s="245"/>
      <c r="B397" s="258"/>
      <c r="C397" s="484" t="s">
        <v>1709</v>
      </c>
      <c r="D397" s="328">
        <v>0.16800000000000001</v>
      </c>
      <c r="E397" s="390">
        <v>8.9999999999999998E-4</v>
      </c>
      <c r="F397" s="390">
        <v>5.3E-3</v>
      </c>
      <c r="G397" s="480" t="s">
        <v>1704</v>
      </c>
      <c r="H397" s="245"/>
      <c r="I397" s="245"/>
      <c r="J397" s="245"/>
      <c r="K397" s="245"/>
      <c r="L397" s="245"/>
      <c r="M397" s="245"/>
      <c r="N397" s="245"/>
      <c r="O397" s="245"/>
      <c r="P397" s="245"/>
      <c r="Q397" s="245"/>
      <c r="R397" s="245"/>
      <c r="S397" s="245"/>
      <c r="T397" s="245"/>
      <c r="U397" s="245"/>
      <c r="V397" s="245"/>
      <c r="W397" s="245"/>
      <c r="X397" s="245"/>
      <c r="Y397" s="245"/>
      <c r="Z397" s="245"/>
      <c r="AA397" s="245"/>
      <c r="AB397" s="245"/>
    </row>
    <row r="398" spans="1:28" ht="14.1" customHeight="1" thickBot="1">
      <c r="A398" s="245"/>
      <c r="B398" s="258"/>
      <c r="C398" s="485" t="s">
        <v>1710</v>
      </c>
      <c r="D398" s="486">
        <v>0.19400000000000001</v>
      </c>
      <c r="E398" s="394">
        <v>8.9999999999999998E-4</v>
      </c>
      <c r="F398" s="394">
        <v>6.1000000000000004E-3</v>
      </c>
      <c r="G398" s="487" t="s">
        <v>1704</v>
      </c>
      <c r="H398" s="245"/>
      <c r="I398" s="245"/>
      <c r="J398" s="245"/>
      <c r="K398" s="245"/>
      <c r="L398" s="245"/>
      <c r="M398" s="245"/>
      <c r="N398" s="245"/>
      <c r="O398" s="245"/>
      <c r="P398" s="245"/>
      <c r="Q398" s="245"/>
      <c r="R398" s="245"/>
      <c r="S398" s="245"/>
      <c r="T398" s="245"/>
      <c r="U398" s="245"/>
      <c r="V398" s="245"/>
      <c r="W398" s="245"/>
      <c r="X398" s="245"/>
      <c r="Y398" s="245"/>
      <c r="Z398" s="245"/>
      <c r="AA398" s="245"/>
      <c r="AB398" s="245"/>
    </row>
    <row r="399" spans="1:28" ht="14.1" customHeight="1">
      <c r="A399" s="245"/>
      <c r="B399" s="258"/>
      <c r="C399" s="488" t="s">
        <v>1711</v>
      </c>
      <c r="D399" s="489"/>
      <c r="E399" s="490"/>
      <c r="F399" s="490"/>
      <c r="G399" s="272"/>
      <c r="H399" s="245"/>
      <c r="I399" s="245"/>
      <c r="J399" s="245"/>
      <c r="K399" s="245"/>
      <c r="L399" s="245"/>
      <c r="M399" s="245"/>
      <c r="N399" s="245"/>
      <c r="O399" s="245"/>
      <c r="P399" s="245"/>
      <c r="Q399" s="245"/>
      <c r="R399" s="245"/>
      <c r="S399" s="245"/>
      <c r="T399" s="245"/>
      <c r="U399" s="245"/>
      <c r="V399" s="245"/>
      <c r="W399" s="245"/>
      <c r="X399" s="245"/>
      <c r="Y399" s="245"/>
      <c r="Z399" s="245"/>
      <c r="AA399" s="245"/>
      <c r="AB399" s="245"/>
    </row>
    <row r="400" spans="1:28">
      <c r="A400" s="245"/>
      <c r="B400" s="246"/>
      <c r="C400" s="374" t="s">
        <v>1712</v>
      </c>
      <c r="D400" s="374"/>
      <c r="E400" s="374"/>
      <c r="F400" s="374"/>
      <c r="G400" s="374"/>
      <c r="H400" s="375"/>
      <c r="I400" s="375"/>
      <c r="J400" s="375"/>
      <c r="K400" s="375"/>
      <c r="L400" s="375"/>
      <c r="M400" s="245"/>
      <c r="N400" s="245"/>
      <c r="O400" s="245"/>
      <c r="P400" s="245"/>
      <c r="Q400" s="245"/>
      <c r="R400" s="245"/>
      <c r="S400" s="245"/>
      <c r="T400" s="245"/>
      <c r="U400" s="245"/>
      <c r="V400" s="245"/>
      <c r="W400" s="245"/>
      <c r="X400" s="245"/>
      <c r="Y400" s="245"/>
      <c r="Z400" s="245"/>
      <c r="AA400" s="245"/>
      <c r="AB400" s="245"/>
    </row>
    <row r="401" spans="1:28" ht="27" customHeight="1">
      <c r="A401" s="245"/>
      <c r="B401" s="246"/>
      <c r="C401" s="1024" t="s">
        <v>1713</v>
      </c>
      <c r="D401" s="1024"/>
      <c r="E401" s="1024"/>
      <c r="F401" s="1024"/>
      <c r="G401" s="1024"/>
      <c r="H401" s="1024"/>
      <c r="I401" s="1024"/>
      <c r="J401" s="1024"/>
      <c r="K401" s="1024"/>
      <c r="L401" s="245"/>
      <c r="M401" s="245"/>
      <c r="N401" s="245"/>
      <c r="O401" s="245"/>
      <c r="P401" s="245"/>
      <c r="Q401" s="245"/>
      <c r="R401" s="245"/>
      <c r="S401" s="245"/>
      <c r="T401" s="245"/>
      <c r="U401" s="245"/>
      <c r="V401" s="245"/>
      <c r="W401" s="245"/>
      <c r="X401" s="245"/>
      <c r="Y401" s="245"/>
      <c r="Z401" s="245"/>
      <c r="AA401" s="245"/>
      <c r="AB401" s="245"/>
    </row>
    <row r="402" spans="1:28" ht="14.1" customHeight="1">
      <c r="A402" s="245"/>
      <c r="B402" s="246"/>
      <c r="C402" s="268"/>
      <c r="D402" s="268"/>
      <c r="E402" s="268"/>
      <c r="F402" s="268"/>
      <c r="G402" s="268"/>
      <c r="H402" s="268"/>
      <c r="I402" s="268"/>
      <c r="J402" s="245"/>
      <c r="K402" s="245"/>
      <c r="L402" s="245"/>
      <c r="M402" s="245"/>
      <c r="N402" s="245"/>
      <c r="O402" s="245"/>
      <c r="P402" s="245"/>
      <c r="Q402" s="245"/>
      <c r="R402" s="245"/>
      <c r="S402" s="245"/>
      <c r="T402" s="245"/>
      <c r="U402" s="245"/>
      <c r="V402" s="245"/>
      <c r="W402" s="245"/>
      <c r="X402" s="245"/>
      <c r="Y402" s="245"/>
      <c r="Z402" s="245"/>
      <c r="AA402" s="245"/>
      <c r="AB402" s="245"/>
    </row>
    <row r="403" spans="1:28" ht="18" customHeight="1">
      <c r="A403" s="245"/>
      <c r="B403" s="246"/>
      <c r="C403" s="245"/>
      <c r="D403" s="245"/>
      <c r="E403" s="245"/>
      <c r="F403" s="245"/>
      <c r="G403" s="245"/>
      <c r="H403" s="245"/>
      <c r="I403" s="245"/>
      <c r="J403" s="245"/>
      <c r="K403" s="245"/>
      <c r="L403" s="245"/>
      <c r="M403" s="245"/>
      <c r="N403" s="245"/>
      <c r="O403" s="245"/>
      <c r="P403" s="245"/>
      <c r="Q403" s="245"/>
      <c r="R403" s="245"/>
      <c r="S403" s="245"/>
      <c r="T403" s="245"/>
      <c r="U403" s="245"/>
      <c r="V403" s="245"/>
      <c r="W403" s="245"/>
      <c r="X403" s="245"/>
      <c r="Y403" s="245"/>
      <c r="Z403" s="245"/>
      <c r="AA403" s="245"/>
      <c r="AB403" s="245"/>
    </row>
    <row r="404" spans="1:28" s="280" customFormat="1" ht="12.75" customHeight="1">
      <c r="A404" s="245"/>
      <c r="B404" s="246"/>
      <c r="C404" s="245"/>
      <c r="D404" s="245"/>
      <c r="E404" s="245"/>
      <c r="F404" s="245"/>
      <c r="G404" s="245"/>
      <c r="H404" s="245"/>
      <c r="I404" s="245"/>
      <c r="J404" s="245"/>
      <c r="K404" s="245"/>
      <c r="L404" s="245"/>
      <c r="M404" s="245"/>
      <c r="N404" s="245"/>
      <c r="O404" s="245"/>
      <c r="P404" s="245"/>
      <c r="Q404" s="245"/>
      <c r="R404" s="245"/>
      <c r="S404" s="245"/>
      <c r="T404" s="245"/>
      <c r="U404" s="245"/>
      <c r="V404" s="245"/>
      <c r="W404" s="245"/>
      <c r="X404" s="245"/>
      <c r="Y404" s="245"/>
      <c r="Z404" s="245"/>
      <c r="AA404" s="245"/>
      <c r="AB404" s="245"/>
    </row>
    <row r="405" spans="1:28" ht="18.75" customHeight="1">
      <c r="A405" s="245"/>
      <c r="B405" s="376" t="s">
        <v>1714</v>
      </c>
      <c r="C405" s="377" t="s">
        <v>1715</v>
      </c>
      <c r="D405" s="473"/>
      <c r="E405" s="473"/>
      <c r="F405" s="378"/>
      <c r="G405" s="378"/>
      <c r="H405" s="378"/>
      <c r="I405" s="378"/>
      <c r="J405" s="378"/>
      <c r="K405" s="378"/>
      <c r="L405" s="379"/>
      <c r="M405" s="245"/>
      <c r="N405" s="245"/>
      <c r="O405" s="245"/>
      <c r="P405" s="245"/>
      <c r="Q405" s="245"/>
      <c r="R405" s="245"/>
      <c r="S405" s="245"/>
      <c r="T405" s="245"/>
      <c r="U405" s="245"/>
      <c r="V405" s="245"/>
      <c r="W405" s="245"/>
      <c r="X405" s="245"/>
      <c r="Y405" s="245"/>
      <c r="Z405" s="245"/>
      <c r="AA405" s="245"/>
      <c r="AB405" s="245"/>
    </row>
    <row r="406" spans="1:28" ht="14.1" customHeight="1" thickBot="1">
      <c r="A406" s="245"/>
      <c r="B406" s="437"/>
      <c r="C406" s="469"/>
      <c r="D406" s="469"/>
      <c r="E406" s="469"/>
      <c r="F406" s="245"/>
      <c r="G406" s="245"/>
      <c r="H406" s="245"/>
      <c r="I406" s="245"/>
      <c r="J406" s="245"/>
      <c r="K406" s="245"/>
      <c r="L406" s="245"/>
      <c r="M406" s="245"/>
      <c r="N406" s="245"/>
      <c r="O406" s="245"/>
      <c r="P406" s="245"/>
      <c r="Q406" s="245"/>
      <c r="R406" s="245"/>
      <c r="S406" s="245"/>
      <c r="T406" s="245"/>
      <c r="U406" s="245"/>
      <c r="V406" s="245"/>
      <c r="W406" s="245"/>
      <c r="X406" s="245"/>
      <c r="Y406" s="245"/>
      <c r="Z406" s="245"/>
      <c r="AA406" s="245"/>
      <c r="AB406" s="245"/>
    </row>
    <row r="407" spans="1:28" ht="14.1" customHeight="1" thickBot="1">
      <c r="A407" s="245"/>
      <c r="B407" s="246"/>
      <c r="C407" s="491" t="s">
        <v>1501</v>
      </c>
      <c r="D407" s="492" t="s">
        <v>1695</v>
      </c>
      <c r="E407" s="492" t="s">
        <v>1696</v>
      </c>
      <c r="F407" s="492" t="s">
        <v>1697</v>
      </c>
      <c r="G407" s="493" t="s">
        <v>1698</v>
      </c>
      <c r="H407" s="245"/>
      <c r="I407" s="245"/>
      <c r="J407" s="245"/>
      <c r="K407" s="245"/>
      <c r="L407" s="245"/>
      <c r="M407" s="245"/>
      <c r="N407" s="245"/>
      <c r="O407" s="245"/>
      <c r="P407" s="245"/>
      <c r="Q407" s="245"/>
      <c r="R407" s="245"/>
      <c r="S407" s="245"/>
      <c r="T407" s="245"/>
      <c r="U407" s="245"/>
      <c r="V407" s="245"/>
      <c r="W407" s="245"/>
      <c r="X407" s="245"/>
      <c r="Y407" s="245"/>
      <c r="Z407" s="245"/>
      <c r="AA407" s="245"/>
      <c r="AB407" s="245"/>
    </row>
    <row r="408" spans="1:28" ht="14.1" customHeight="1">
      <c r="A408" s="245"/>
      <c r="B408" s="246"/>
      <c r="C408" s="281" t="s">
        <v>1716</v>
      </c>
      <c r="D408" s="315">
        <v>1.726</v>
      </c>
      <c r="E408" s="315">
        <v>2.1000000000000001E-2</v>
      </c>
      <c r="F408" s="315">
        <v>1.7000000000000001E-2</v>
      </c>
      <c r="G408" s="494" t="s">
        <v>1700</v>
      </c>
      <c r="H408" s="245"/>
      <c r="I408" s="245"/>
      <c r="J408" s="245"/>
      <c r="K408" s="245"/>
      <c r="L408" s="245"/>
      <c r="M408" s="245"/>
      <c r="N408" s="245"/>
      <c r="O408" s="245"/>
      <c r="P408" s="245"/>
      <c r="Q408" s="245"/>
      <c r="R408" s="245"/>
      <c r="S408" s="245"/>
      <c r="T408" s="245"/>
      <c r="U408" s="245"/>
      <c r="V408" s="245"/>
      <c r="W408" s="245"/>
      <c r="X408" s="245"/>
      <c r="Y408" s="245"/>
      <c r="Z408" s="245"/>
      <c r="AA408" s="245"/>
      <c r="AB408" s="245"/>
    </row>
    <row r="409" spans="1:28" ht="14.1" customHeight="1">
      <c r="A409" s="245"/>
      <c r="B409" s="246"/>
      <c r="C409" s="422" t="s">
        <v>1699</v>
      </c>
      <c r="D409" s="495">
        <v>0.36399999999999999</v>
      </c>
      <c r="E409" s="495">
        <v>3.1E-2</v>
      </c>
      <c r="F409" s="495">
        <v>3.2000000000000001E-2</v>
      </c>
      <c r="G409" s="496" t="s">
        <v>1700</v>
      </c>
      <c r="H409" s="245"/>
      <c r="I409" s="245"/>
      <c r="J409" s="245"/>
      <c r="K409" s="245"/>
      <c r="L409" s="245"/>
      <c r="M409" s="245"/>
      <c r="N409" s="245"/>
      <c r="O409" s="245"/>
      <c r="P409" s="245"/>
      <c r="Q409" s="245"/>
      <c r="R409" s="245"/>
      <c r="S409" s="245"/>
      <c r="T409" s="245"/>
      <c r="U409" s="245"/>
      <c r="V409" s="245"/>
      <c r="W409" s="245"/>
      <c r="X409" s="245"/>
      <c r="Y409" s="245"/>
      <c r="Z409" s="245"/>
      <c r="AA409" s="245"/>
      <c r="AB409" s="245"/>
    </row>
    <row r="410" spans="1:28" ht="14.1" customHeight="1">
      <c r="A410" s="245"/>
      <c r="B410" s="246"/>
      <c r="C410" s="281" t="s">
        <v>1701</v>
      </c>
      <c r="D410" s="315">
        <v>0.51900000000000002</v>
      </c>
      <c r="E410" s="315">
        <v>3.5999999999999997E-2</v>
      </c>
      <c r="F410" s="315">
        <v>4.7E-2</v>
      </c>
      <c r="G410" s="494" t="s">
        <v>1700</v>
      </c>
      <c r="H410" s="245"/>
      <c r="I410" s="245"/>
      <c r="J410" s="245"/>
      <c r="K410" s="245"/>
      <c r="L410" s="245"/>
      <c r="M410" s="245"/>
      <c r="N410" s="245"/>
      <c r="O410" s="245"/>
      <c r="P410" s="245"/>
      <c r="Q410" s="245"/>
      <c r="R410" s="245"/>
      <c r="S410" s="245"/>
      <c r="T410" s="245"/>
      <c r="U410" s="245"/>
      <c r="V410" s="245"/>
      <c r="W410" s="245"/>
      <c r="X410" s="245"/>
      <c r="Y410" s="245"/>
      <c r="Z410" s="245"/>
      <c r="AA410" s="245"/>
      <c r="AB410" s="245"/>
    </row>
    <row r="411" spans="1:28" ht="14.1" customHeight="1">
      <c r="A411" s="245"/>
      <c r="B411" s="246"/>
      <c r="C411" s="281" t="s">
        <v>1717</v>
      </c>
      <c r="D411" s="315">
        <v>0.29699999999999999</v>
      </c>
      <c r="E411" s="412">
        <v>3.5000000000000001E-3</v>
      </c>
      <c r="F411" s="412">
        <v>2.7000000000000001E-3</v>
      </c>
      <c r="G411" s="494" t="s">
        <v>1718</v>
      </c>
      <c r="H411" s="245"/>
      <c r="I411" s="245"/>
      <c r="J411" s="245"/>
      <c r="K411" s="245"/>
      <c r="L411" s="245"/>
      <c r="M411" s="245"/>
      <c r="N411" s="245"/>
      <c r="O411" s="245"/>
      <c r="P411" s="245"/>
      <c r="Q411" s="245"/>
      <c r="R411" s="245"/>
      <c r="S411" s="245"/>
      <c r="T411" s="245"/>
      <c r="U411" s="245"/>
      <c r="V411" s="245"/>
      <c r="W411" s="245"/>
      <c r="X411" s="245"/>
      <c r="Y411" s="245"/>
      <c r="Z411" s="245"/>
      <c r="AA411" s="245"/>
      <c r="AB411" s="245"/>
    </row>
    <row r="412" spans="1:28" ht="14.1" customHeight="1">
      <c r="A412" s="245"/>
      <c r="B412" s="246"/>
      <c r="C412" s="281" t="s">
        <v>1719</v>
      </c>
      <c r="D412" s="412">
        <v>2.52E-2</v>
      </c>
      <c r="E412" s="315">
        <v>2E-3</v>
      </c>
      <c r="F412" s="412">
        <v>5.9999999999999995E-4</v>
      </c>
      <c r="G412" s="494" t="s">
        <v>1718</v>
      </c>
      <c r="H412" s="245"/>
      <c r="I412" s="245"/>
      <c r="J412" s="245"/>
      <c r="K412" s="245"/>
      <c r="L412" s="245"/>
      <c r="M412" s="245"/>
      <c r="N412" s="245"/>
      <c r="O412" s="245"/>
      <c r="P412" s="245"/>
      <c r="Q412" s="245"/>
      <c r="R412" s="245"/>
      <c r="S412" s="245"/>
      <c r="T412" s="245"/>
      <c r="U412" s="245"/>
      <c r="V412" s="245"/>
      <c r="W412" s="245"/>
      <c r="X412" s="245"/>
      <c r="Y412" s="245"/>
      <c r="Z412" s="245"/>
      <c r="AA412" s="245"/>
      <c r="AB412" s="245"/>
    </row>
    <row r="413" spans="1:28" ht="14.1" customHeight="1">
      <c r="A413" s="245"/>
      <c r="B413" s="246"/>
      <c r="C413" s="281" t="s">
        <v>1720</v>
      </c>
      <c r="D413" s="315">
        <v>4.8000000000000001E-2</v>
      </c>
      <c r="E413" s="412">
        <v>4.1000000000000003E-3</v>
      </c>
      <c r="F413" s="412">
        <v>1.4E-3</v>
      </c>
      <c r="G413" s="494" t="s">
        <v>1718</v>
      </c>
      <c r="H413" s="245"/>
      <c r="I413" s="245"/>
      <c r="J413" s="245"/>
      <c r="K413" s="245"/>
      <c r="L413" s="245"/>
      <c r="M413" s="245"/>
      <c r="N413" s="245"/>
      <c r="O413" s="245"/>
      <c r="P413" s="245"/>
      <c r="Q413" s="245"/>
      <c r="R413" s="245"/>
      <c r="S413" s="245"/>
      <c r="T413" s="245"/>
      <c r="U413" s="245"/>
      <c r="V413" s="245"/>
      <c r="W413" s="245"/>
      <c r="X413" s="245"/>
      <c r="Y413" s="245"/>
      <c r="Z413" s="245"/>
      <c r="AA413" s="245"/>
      <c r="AB413" s="245"/>
    </row>
    <row r="414" spans="1:28" ht="14.1" customHeight="1" thickBot="1">
      <c r="A414" s="245"/>
      <c r="B414" s="246"/>
      <c r="C414" s="426" t="s">
        <v>1721</v>
      </c>
      <c r="D414" s="417">
        <v>1.5269999999999999</v>
      </c>
      <c r="E414" s="497">
        <v>4.1700000000000001E-2</v>
      </c>
      <c r="F414" s="497">
        <v>4.7899999999999998E-2</v>
      </c>
      <c r="G414" s="498" t="s">
        <v>1718</v>
      </c>
      <c r="H414" s="245"/>
      <c r="I414" s="245"/>
      <c r="J414" s="245"/>
      <c r="K414" s="245"/>
      <c r="L414" s="245"/>
      <c r="M414" s="245"/>
      <c r="N414" s="245"/>
      <c r="O414" s="245"/>
      <c r="P414" s="245"/>
      <c r="Q414" s="245"/>
      <c r="R414" s="245"/>
      <c r="S414" s="245"/>
      <c r="T414" s="245"/>
      <c r="U414" s="245"/>
      <c r="V414" s="245"/>
      <c r="W414" s="245"/>
      <c r="X414" s="245"/>
      <c r="Y414" s="245"/>
      <c r="Z414" s="245"/>
      <c r="AA414" s="245"/>
      <c r="AB414" s="245"/>
    </row>
    <row r="415" spans="1:28" s="280" customFormat="1" ht="36" customHeight="1">
      <c r="A415" s="245"/>
      <c r="B415" s="246"/>
      <c r="C415" s="1048" t="s">
        <v>1722</v>
      </c>
      <c r="D415" s="1048"/>
      <c r="E415" s="1048"/>
      <c r="F415" s="1048"/>
      <c r="G415" s="1048"/>
      <c r="H415" s="1048"/>
      <c r="I415" s="245"/>
      <c r="J415" s="245"/>
      <c r="K415" s="245"/>
      <c r="L415" s="245"/>
      <c r="M415" s="245"/>
      <c r="N415" s="245"/>
      <c r="O415" s="245"/>
      <c r="P415" s="245"/>
      <c r="Q415" s="245"/>
      <c r="R415" s="245"/>
      <c r="S415" s="245"/>
      <c r="T415" s="245"/>
      <c r="U415" s="245"/>
      <c r="V415" s="245"/>
      <c r="W415" s="245"/>
      <c r="X415" s="245"/>
      <c r="Y415" s="245"/>
      <c r="Z415" s="245"/>
      <c r="AA415" s="245"/>
      <c r="AB415" s="245"/>
    </row>
    <row r="416" spans="1:28">
      <c r="A416" s="245"/>
      <c r="B416" s="246"/>
      <c r="C416" s="499"/>
      <c r="D416" s="499"/>
      <c r="E416" s="499"/>
      <c r="F416" s="245"/>
      <c r="G416" s="245"/>
      <c r="H416" s="245"/>
      <c r="I416" s="245"/>
      <c r="J416" s="245"/>
      <c r="K416" s="245"/>
      <c r="L416" s="245"/>
      <c r="M416" s="245"/>
      <c r="N416" s="245"/>
      <c r="O416" s="245"/>
      <c r="P416" s="245"/>
      <c r="Q416" s="245"/>
      <c r="R416" s="245"/>
      <c r="S416" s="245"/>
      <c r="T416" s="245"/>
      <c r="U416" s="245"/>
      <c r="V416" s="245"/>
      <c r="W416" s="245"/>
      <c r="X416" s="245"/>
      <c r="Y416" s="245"/>
      <c r="Z416" s="245"/>
      <c r="AA416" s="245"/>
      <c r="AB416" s="245"/>
    </row>
    <row r="417" spans="1:28" ht="14.1" customHeight="1">
      <c r="A417" s="245"/>
      <c r="B417" s="246"/>
      <c r="C417" s="245"/>
      <c r="D417" s="255"/>
      <c r="E417" s="255"/>
      <c r="F417" s="245"/>
      <c r="G417" s="245"/>
      <c r="H417" s="245"/>
      <c r="I417" s="245"/>
      <c r="J417" s="245"/>
      <c r="K417" s="245"/>
      <c r="L417" s="245"/>
      <c r="M417" s="245"/>
      <c r="N417" s="245"/>
      <c r="O417" s="245"/>
      <c r="P417" s="245"/>
      <c r="Q417" s="245"/>
      <c r="R417" s="245"/>
      <c r="S417" s="245"/>
      <c r="T417" s="245"/>
      <c r="U417" s="245"/>
      <c r="V417" s="245"/>
      <c r="W417" s="245"/>
      <c r="X417" s="245"/>
      <c r="Y417" s="245"/>
      <c r="Z417" s="245"/>
      <c r="AA417" s="245"/>
      <c r="AB417" s="245"/>
    </row>
    <row r="418" spans="1:28" ht="14.1" customHeight="1">
      <c r="A418" s="245"/>
      <c r="B418" s="246"/>
      <c r="C418" s="245"/>
      <c r="D418" s="245"/>
      <c r="E418" s="245"/>
      <c r="F418" s="245"/>
      <c r="G418" s="245"/>
      <c r="H418" s="245"/>
      <c r="I418" s="245"/>
      <c r="J418" s="245"/>
      <c r="K418" s="245"/>
      <c r="L418" s="245"/>
      <c r="M418" s="245"/>
      <c r="N418" s="245"/>
      <c r="O418" s="245"/>
      <c r="P418" s="245"/>
      <c r="Q418" s="245"/>
      <c r="R418" s="245"/>
      <c r="S418" s="245"/>
      <c r="T418" s="245"/>
      <c r="U418" s="245"/>
      <c r="V418" s="245"/>
      <c r="W418" s="245"/>
      <c r="X418" s="245"/>
      <c r="Y418" s="245"/>
      <c r="Z418" s="245"/>
      <c r="AA418" s="245"/>
      <c r="AB418" s="245"/>
    </row>
    <row r="419" spans="1:28" ht="14.1" customHeight="1">
      <c r="A419" s="245"/>
      <c r="B419" s="246"/>
      <c r="C419" s="245"/>
      <c r="D419" s="245"/>
      <c r="E419" s="245"/>
      <c r="F419" s="245"/>
      <c r="G419" s="245"/>
      <c r="H419" s="245"/>
      <c r="I419" s="245"/>
      <c r="J419" s="245"/>
      <c r="K419" s="245"/>
      <c r="L419" s="245"/>
      <c r="M419" s="245"/>
      <c r="N419" s="245"/>
      <c r="O419" s="245"/>
      <c r="P419" s="245"/>
      <c r="Q419" s="245"/>
      <c r="R419" s="245"/>
      <c r="S419" s="245"/>
      <c r="T419" s="245"/>
      <c r="U419" s="245"/>
      <c r="V419" s="245"/>
      <c r="W419" s="245"/>
      <c r="X419" s="245"/>
      <c r="Y419" s="245"/>
      <c r="Z419" s="245"/>
      <c r="AA419" s="245"/>
      <c r="AB419" s="245"/>
    </row>
    <row r="420" spans="1:28" ht="14.1" customHeight="1">
      <c r="A420" s="245"/>
      <c r="B420" s="246"/>
      <c r="C420" s="245"/>
      <c r="D420" s="245"/>
      <c r="E420" s="245"/>
      <c r="F420" s="245"/>
      <c r="G420" s="245"/>
      <c r="H420" s="245"/>
      <c r="I420" s="245"/>
      <c r="J420" s="245"/>
      <c r="K420" s="245"/>
      <c r="L420" s="245"/>
      <c r="M420" s="245"/>
      <c r="N420" s="245"/>
      <c r="O420" s="245"/>
      <c r="P420" s="245"/>
      <c r="Q420" s="245"/>
      <c r="R420" s="245"/>
      <c r="S420" s="245"/>
      <c r="T420" s="245"/>
      <c r="U420" s="245"/>
      <c r="V420" s="245"/>
      <c r="W420" s="245"/>
      <c r="X420" s="245"/>
      <c r="Y420" s="245"/>
      <c r="Z420" s="245"/>
      <c r="AA420" s="245"/>
      <c r="AB420" s="245"/>
    </row>
    <row r="421" spans="1:28" ht="14.1" customHeight="1">
      <c r="A421" s="245"/>
      <c r="B421" s="246"/>
      <c r="C421" s="245"/>
      <c r="D421" s="245"/>
      <c r="E421" s="245"/>
      <c r="F421" s="245"/>
      <c r="G421" s="245"/>
      <c r="H421" s="245"/>
      <c r="I421" s="245"/>
      <c r="J421" s="245"/>
      <c r="K421" s="245"/>
      <c r="L421" s="245"/>
      <c r="M421" s="245"/>
      <c r="N421" s="245"/>
      <c r="O421" s="245"/>
      <c r="P421" s="245"/>
      <c r="Q421" s="245"/>
      <c r="R421" s="245"/>
      <c r="S421" s="245"/>
      <c r="T421" s="245"/>
      <c r="U421" s="245"/>
      <c r="V421" s="245"/>
      <c r="W421" s="245"/>
      <c r="X421" s="245"/>
      <c r="Y421" s="245"/>
      <c r="Z421" s="245"/>
      <c r="AA421" s="245"/>
      <c r="AB421" s="245"/>
    </row>
    <row r="422" spans="1:28" ht="14.1" customHeight="1">
      <c r="A422" s="245"/>
      <c r="B422" s="246"/>
      <c r="C422" s="245"/>
      <c r="D422" s="245"/>
      <c r="E422" s="245"/>
      <c r="F422" s="245"/>
      <c r="G422" s="245"/>
      <c r="H422" s="245"/>
      <c r="I422" s="245"/>
      <c r="J422" s="245"/>
      <c r="K422" s="245"/>
      <c r="L422" s="245"/>
      <c r="M422" s="245"/>
      <c r="N422" s="245"/>
      <c r="O422" s="245"/>
      <c r="P422" s="245"/>
      <c r="Q422" s="245"/>
      <c r="R422" s="245"/>
      <c r="S422" s="245"/>
      <c r="T422" s="245"/>
      <c r="U422" s="245"/>
      <c r="V422" s="245"/>
      <c r="W422" s="245"/>
      <c r="X422" s="245"/>
      <c r="Y422" s="245"/>
      <c r="Z422" s="245"/>
      <c r="AA422" s="245"/>
      <c r="AB422" s="245"/>
    </row>
    <row r="423" spans="1:28" ht="14.1" customHeight="1">
      <c r="A423" s="245"/>
      <c r="B423" s="246"/>
      <c r="C423" s="245"/>
      <c r="D423" s="245"/>
      <c r="E423" s="245"/>
      <c r="F423" s="245"/>
      <c r="G423" s="245"/>
      <c r="H423" s="245"/>
      <c r="I423" s="245"/>
      <c r="J423" s="245"/>
      <c r="K423" s="245"/>
      <c r="L423" s="245"/>
      <c r="M423" s="245"/>
      <c r="N423" s="245"/>
      <c r="O423" s="245"/>
      <c r="P423" s="245"/>
      <c r="Q423" s="245"/>
      <c r="R423" s="245"/>
      <c r="S423" s="245"/>
      <c r="T423" s="245"/>
      <c r="U423" s="245"/>
      <c r="V423" s="245"/>
      <c r="W423" s="245"/>
      <c r="X423" s="245"/>
      <c r="Y423" s="245"/>
      <c r="Z423" s="245"/>
      <c r="AA423" s="245"/>
      <c r="AB423" s="245"/>
    </row>
    <row r="424" spans="1:28" ht="14.1" customHeight="1">
      <c r="A424" s="245"/>
      <c r="B424" s="246"/>
      <c r="C424" s="245"/>
      <c r="D424" s="245"/>
      <c r="E424" s="245"/>
      <c r="F424" s="245"/>
      <c r="G424" s="245"/>
      <c r="H424" s="245"/>
      <c r="I424" s="245"/>
      <c r="J424" s="245"/>
      <c r="K424" s="245"/>
      <c r="L424" s="245"/>
      <c r="M424" s="245"/>
      <c r="N424" s="245"/>
      <c r="O424" s="245"/>
      <c r="P424" s="245"/>
      <c r="Q424" s="245"/>
      <c r="R424" s="245"/>
      <c r="S424" s="245"/>
      <c r="T424" s="245"/>
      <c r="U424" s="245"/>
      <c r="V424" s="245"/>
      <c r="W424" s="245"/>
      <c r="X424" s="245"/>
      <c r="Y424" s="245"/>
      <c r="Z424" s="245"/>
      <c r="AA424" s="245"/>
      <c r="AB424" s="245"/>
    </row>
    <row r="425" spans="1:28" ht="14.1" customHeight="1">
      <c r="A425" s="245"/>
      <c r="B425" s="246"/>
      <c r="C425" s="245"/>
      <c r="D425" s="245"/>
      <c r="E425" s="245"/>
      <c r="F425" s="245"/>
      <c r="G425" s="245"/>
      <c r="H425" s="245"/>
      <c r="I425" s="245"/>
      <c r="J425" s="245"/>
      <c r="K425" s="245"/>
      <c r="L425" s="245"/>
      <c r="M425" s="245"/>
      <c r="N425" s="245"/>
      <c r="O425" s="245"/>
      <c r="P425" s="245"/>
      <c r="Q425" s="245"/>
      <c r="R425" s="245"/>
      <c r="S425" s="245"/>
      <c r="T425" s="245"/>
      <c r="U425" s="245"/>
      <c r="V425" s="245"/>
      <c r="W425" s="245"/>
      <c r="X425" s="245"/>
      <c r="Y425" s="245"/>
      <c r="Z425" s="245"/>
      <c r="AA425" s="245"/>
      <c r="AB425" s="245"/>
    </row>
    <row r="426" spans="1:28" ht="14.1" customHeight="1">
      <c r="A426" s="245"/>
      <c r="B426" s="246"/>
      <c r="C426" s="245"/>
      <c r="D426" s="245"/>
      <c r="E426" s="245"/>
      <c r="F426" s="245"/>
      <c r="G426" s="245"/>
      <c r="H426" s="245"/>
      <c r="I426" s="245"/>
      <c r="J426" s="245"/>
      <c r="K426" s="245"/>
      <c r="L426" s="245"/>
      <c r="M426" s="245"/>
      <c r="N426" s="245"/>
      <c r="O426" s="245"/>
      <c r="P426" s="245"/>
      <c r="Q426" s="245"/>
      <c r="R426" s="245"/>
      <c r="S426" s="245"/>
      <c r="T426" s="245"/>
      <c r="U426" s="245"/>
      <c r="V426" s="245"/>
      <c r="W426" s="245"/>
      <c r="X426" s="245"/>
      <c r="Y426" s="245"/>
      <c r="Z426" s="245"/>
      <c r="AA426" s="245"/>
      <c r="AB426" s="245"/>
    </row>
    <row r="427" spans="1:28" ht="14.1" customHeight="1">
      <c r="A427" s="245"/>
      <c r="B427" s="246"/>
      <c r="C427" s="245"/>
      <c r="D427" s="500"/>
      <c r="E427" s="500"/>
      <c r="F427" s="245"/>
      <c r="G427" s="245"/>
      <c r="H427" s="245"/>
      <c r="I427" s="245"/>
      <c r="J427" s="245"/>
      <c r="K427" s="245"/>
      <c r="L427" s="245"/>
      <c r="M427" s="245"/>
      <c r="N427" s="245"/>
      <c r="O427" s="245"/>
      <c r="P427" s="245"/>
      <c r="Q427" s="245"/>
      <c r="R427" s="245"/>
      <c r="S427" s="245"/>
      <c r="T427" s="245"/>
      <c r="U427" s="245"/>
      <c r="V427" s="245"/>
      <c r="W427" s="245"/>
      <c r="X427" s="245"/>
      <c r="Y427" s="245"/>
      <c r="Z427" s="245"/>
      <c r="AA427" s="245"/>
      <c r="AB427" s="245"/>
    </row>
    <row r="428" spans="1:28" ht="14.1" customHeight="1">
      <c r="A428" s="245"/>
      <c r="B428" s="246"/>
      <c r="C428" s="245"/>
      <c r="D428" s="245"/>
      <c r="E428" s="245"/>
      <c r="F428" s="245"/>
      <c r="G428" s="245"/>
      <c r="H428" s="245"/>
      <c r="I428" s="245"/>
      <c r="J428" s="245"/>
      <c r="K428" s="245"/>
      <c r="L428" s="245"/>
      <c r="M428" s="245"/>
      <c r="N428" s="245"/>
      <c r="O428" s="245"/>
      <c r="P428" s="245"/>
      <c r="Q428" s="245"/>
      <c r="R428" s="245"/>
      <c r="S428" s="245"/>
      <c r="T428" s="245"/>
      <c r="U428" s="245"/>
      <c r="V428" s="245"/>
      <c r="W428" s="245"/>
      <c r="X428" s="245"/>
      <c r="Y428" s="245"/>
      <c r="Z428" s="245"/>
      <c r="AA428" s="245"/>
      <c r="AB428" s="245"/>
    </row>
    <row r="429" spans="1:28" ht="14.1" customHeight="1">
      <c r="A429" s="245"/>
      <c r="B429" s="246"/>
      <c r="C429" s="245"/>
      <c r="D429" s="245"/>
      <c r="E429" s="245"/>
      <c r="F429" s="245"/>
      <c r="G429" s="245"/>
      <c r="H429" s="245"/>
      <c r="I429" s="245"/>
      <c r="J429" s="245"/>
      <c r="K429" s="245"/>
      <c r="L429" s="245"/>
      <c r="M429" s="245"/>
      <c r="N429" s="245"/>
      <c r="O429" s="245"/>
      <c r="P429" s="245"/>
      <c r="Q429" s="245"/>
      <c r="R429" s="245"/>
      <c r="S429" s="245"/>
      <c r="T429" s="245"/>
      <c r="U429" s="245"/>
      <c r="V429" s="245"/>
      <c r="W429" s="245"/>
      <c r="X429" s="245"/>
      <c r="Y429" s="245"/>
      <c r="Z429" s="245"/>
      <c r="AA429" s="245"/>
      <c r="AB429" s="245"/>
    </row>
    <row r="430" spans="1:28" ht="14.1" customHeight="1">
      <c r="A430" s="245"/>
      <c r="B430" s="246"/>
      <c r="C430" s="245"/>
      <c r="D430" s="245"/>
      <c r="E430" s="245"/>
      <c r="F430" s="245"/>
      <c r="G430" s="245"/>
      <c r="H430" s="245"/>
      <c r="I430" s="245"/>
      <c r="J430" s="245"/>
      <c r="K430" s="245"/>
      <c r="L430" s="245"/>
      <c r="M430" s="245"/>
      <c r="N430" s="245"/>
      <c r="O430" s="245"/>
      <c r="P430" s="245"/>
      <c r="Q430" s="245"/>
      <c r="R430" s="245"/>
      <c r="S430" s="245"/>
      <c r="T430" s="245"/>
      <c r="U430" s="245"/>
      <c r="V430" s="245"/>
      <c r="W430" s="245"/>
      <c r="X430" s="245"/>
      <c r="Y430" s="245"/>
      <c r="Z430" s="245"/>
      <c r="AA430" s="245"/>
      <c r="AB430" s="245"/>
    </row>
    <row r="431" spans="1:28" ht="14.1" customHeight="1">
      <c r="A431" s="245"/>
      <c r="B431" s="246"/>
      <c r="C431" s="245"/>
      <c r="D431" s="245"/>
      <c r="E431" s="245"/>
      <c r="F431" s="245"/>
      <c r="G431" s="245"/>
      <c r="H431" s="245"/>
      <c r="I431" s="245"/>
      <c r="J431" s="245"/>
      <c r="K431" s="245"/>
      <c r="L431" s="245"/>
      <c r="M431" s="245"/>
      <c r="N431" s="245"/>
      <c r="O431" s="245"/>
      <c r="P431" s="245"/>
      <c r="Q431" s="245"/>
      <c r="R431" s="245"/>
      <c r="S431" s="245"/>
      <c r="T431" s="245"/>
      <c r="U431" s="245"/>
      <c r="V431" s="245"/>
      <c r="W431" s="245"/>
      <c r="X431" s="245"/>
      <c r="Y431" s="245"/>
      <c r="Z431" s="245"/>
      <c r="AA431" s="245"/>
      <c r="AB431" s="245"/>
    </row>
    <row r="432" spans="1:28" ht="14.1" customHeight="1">
      <c r="A432" s="245"/>
      <c r="B432" s="246"/>
      <c r="C432" s="245"/>
      <c r="D432" s="245"/>
      <c r="E432" s="245"/>
      <c r="F432" s="245"/>
      <c r="G432" s="245"/>
      <c r="H432" s="245"/>
      <c r="I432" s="245"/>
      <c r="J432" s="245"/>
      <c r="K432" s="245"/>
      <c r="L432" s="245"/>
      <c r="M432" s="245"/>
      <c r="N432" s="245"/>
      <c r="O432" s="245"/>
      <c r="P432" s="245"/>
      <c r="Q432" s="245"/>
      <c r="R432" s="245"/>
      <c r="S432" s="245"/>
      <c r="T432" s="245"/>
      <c r="U432" s="245"/>
      <c r="V432" s="245"/>
      <c r="W432" s="245"/>
      <c r="X432" s="245"/>
      <c r="Y432" s="245"/>
      <c r="Z432" s="245"/>
      <c r="AA432" s="245"/>
      <c r="AB432" s="245"/>
    </row>
    <row r="433" spans="1:28" ht="14.1" customHeight="1">
      <c r="A433" s="245"/>
      <c r="B433" s="246"/>
      <c r="C433" s="245"/>
      <c r="D433" s="245"/>
      <c r="E433" s="245"/>
      <c r="F433" s="245"/>
      <c r="G433" s="245"/>
      <c r="H433" s="245"/>
      <c r="I433" s="245"/>
      <c r="J433" s="245"/>
      <c r="K433" s="245"/>
      <c r="L433" s="245"/>
      <c r="M433" s="245"/>
      <c r="N433" s="245"/>
      <c r="O433" s="245"/>
      <c r="P433" s="245"/>
      <c r="Q433" s="245"/>
      <c r="R433" s="245"/>
      <c r="S433" s="245"/>
      <c r="T433" s="245"/>
      <c r="U433" s="245"/>
      <c r="V433" s="245"/>
      <c r="W433" s="245"/>
      <c r="X433" s="245"/>
      <c r="Y433" s="245"/>
      <c r="Z433" s="245"/>
      <c r="AA433" s="245"/>
      <c r="AB433" s="245"/>
    </row>
    <row r="434" spans="1:28" ht="14.1" customHeight="1">
      <c r="A434" s="245"/>
      <c r="B434" s="246"/>
      <c r="C434" s="245"/>
      <c r="D434" s="245"/>
      <c r="E434" s="245"/>
      <c r="F434" s="245"/>
      <c r="G434" s="245"/>
      <c r="H434" s="245"/>
      <c r="I434" s="245"/>
      <c r="J434" s="245"/>
      <c r="K434" s="245"/>
      <c r="L434" s="245"/>
      <c r="M434" s="245"/>
      <c r="N434" s="245"/>
      <c r="O434" s="245"/>
      <c r="P434" s="245"/>
      <c r="Q434" s="245"/>
      <c r="R434" s="245"/>
      <c r="S434" s="245"/>
      <c r="T434" s="245"/>
      <c r="U434" s="245"/>
      <c r="V434" s="245"/>
      <c r="W434" s="245"/>
      <c r="X434" s="245"/>
      <c r="Y434" s="245"/>
      <c r="Z434" s="245"/>
      <c r="AA434" s="245"/>
      <c r="AB434" s="245"/>
    </row>
    <row r="435" spans="1:28">
      <c r="A435" s="245"/>
      <c r="B435" s="246"/>
      <c r="C435" s="245"/>
      <c r="D435" s="245"/>
      <c r="E435" s="245"/>
      <c r="F435" s="245"/>
      <c r="G435" s="245"/>
      <c r="H435" s="245"/>
      <c r="I435" s="245"/>
      <c r="J435" s="245"/>
      <c r="K435" s="245"/>
      <c r="L435" s="245"/>
      <c r="M435" s="245"/>
      <c r="N435" s="245"/>
      <c r="O435" s="245"/>
      <c r="P435" s="245"/>
      <c r="Q435" s="245"/>
      <c r="R435" s="245"/>
      <c r="S435" s="245"/>
      <c r="T435" s="245"/>
      <c r="U435" s="245"/>
      <c r="V435" s="245"/>
      <c r="W435" s="245"/>
      <c r="X435" s="245"/>
      <c r="Y435" s="245"/>
      <c r="Z435" s="245"/>
      <c r="AA435" s="245"/>
      <c r="AB435" s="245"/>
    </row>
    <row r="436" spans="1:28">
      <c r="A436" s="245"/>
      <c r="B436" s="246"/>
      <c r="C436" s="245"/>
      <c r="D436" s="245"/>
      <c r="E436" s="245"/>
      <c r="F436" s="245"/>
      <c r="G436" s="245"/>
      <c r="H436" s="245"/>
      <c r="I436" s="245"/>
      <c r="J436" s="245"/>
      <c r="K436" s="245"/>
      <c r="L436" s="245"/>
      <c r="M436" s="245"/>
      <c r="N436" s="245"/>
      <c r="O436" s="245"/>
      <c r="P436" s="245"/>
      <c r="Q436" s="245"/>
      <c r="R436" s="245"/>
      <c r="S436" s="245"/>
      <c r="T436" s="245"/>
      <c r="U436" s="245"/>
      <c r="V436" s="245"/>
      <c r="W436" s="245"/>
      <c r="X436" s="245"/>
      <c r="Y436" s="245"/>
      <c r="Z436" s="245"/>
      <c r="AA436" s="245"/>
      <c r="AB436" s="245"/>
    </row>
    <row r="437" spans="1:28">
      <c r="A437" s="245"/>
      <c r="B437" s="246"/>
      <c r="C437" s="245"/>
      <c r="D437" s="245"/>
      <c r="E437" s="245"/>
      <c r="F437" s="245"/>
      <c r="G437" s="245"/>
      <c r="H437" s="245"/>
      <c r="I437" s="245"/>
      <c r="J437" s="245"/>
      <c r="K437" s="245"/>
      <c r="L437" s="245"/>
      <c r="M437" s="245"/>
      <c r="N437" s="245"/>
      <c r="O437" s="245"/>
      <c r="P437" s="245"/>
      <c r="Q437" s="245"/>
      <c r="R437" s="245"/>
      <c r="S437" s="245"/>
      <c r="T437" s="245"/>
      <c r="U437" s="245"/>
      <c r="V437" s="245"/>
      <c r="W437" s="245"/>
      <c r="X437" s="245"/>
      <c r="Y437" s="245"/>
      <c r="Z437" s="245"/>
      <c r="AA437" s="245"/>
      <c r="AB437" s="245"/>
    </row>
    <row r="438" spans="1:28">
      <c r="A438" s="245"/>
      <c r="B438" s="246"/>
      <c r="C438" s="245"/>
      <c r="D438" s="245"/>
      <c r="E438" s="245"/>
      <c r="F438" s="245"/>
      <c r="G438" s="245"/>
      <c r="H438" s="245"/>
      <c r="I438" s="245"/>
      <c r="J438" s="245"/>
      <c r="K438" s="245"/>
      <c r="L438" s="245"/>
      <c r="M438" s="245"/>
      <c r="N438" s="245"/>
      <c r="O438" s="245"/>
      <c r="P438" s="245"/>
      <c r="Q438" s="245"/>
      <c r="R438" s="245"/>
      <c r="S438" s="245"/>
      <c r="T438" s="245"/>
      <c r="U438" s="245"/>
      <c r="V438" s="245"/>
      <c r="W438" s="245"/>
      <c r="X438" s="245"/>
      <c r="Y438" s="245"/>
      <c r="Z438" s="245"/>
      <c r="AA438" s="245"/>
      <c r="AB438" s="245"/>
    </row>
    <row r="439" spans="1:28">
      <c r="A439" s="245"/>
      <c r="B439" s="246"/>
      <c r="C439" s="245"/>
      <c r="D439" s="245"/>
      <c r="E439" s="245"/>
      <c r="F439" s="245"/>
      <c r="G439" s="245"/>
      <c r="H439" s="245"/>
      <c r="I439" s="245"/>
      <c r="J439" s="245"/>
      <c r="K439" s="245"/>
      <c r="L439" s="245"/>
      <c r="M439" s="245"/>
      <c r="N439" s="245"/>
      <c r="O439" s="245"/>
      <c r="P439" s="245"/>
      <c r="Q439" s="245"/>
      <c r="R439" s="245"/>
      <c r="S439" s="245"/>
      <c r="T439" s="245"/>
      <c r="U439" s="245"/>
      <c r="V439" s="245"/>
      <c r="W439" s="245"/>
      <c r="X439" s="245"/>
      <c r="Y439" s="245"/>
      <c r="Z439" s="245"/>
      <c r="AA439" s="245"/>
      <c r="AB439" s="245"/>
    </row>
    <row r="440" spans="1:28">
      <c r="A440" s="245"/>
      <c r="B440" s="246"/>
      <c r="C440" s="245"/>
      <c r="D440" s="245"/>
      <c r="E440" s="245"/>
      <c r="F440" s="245"/>
      <c r="G440" s="245"/>
      <c r="H440" s="245"/>
      <c r="I440" s="245"/>
      <c r="J440" s="245"/>
      <c r="K440" s="245"/>
      <c r="L440" s="245"/>
      <c r="M440" s="245"/>
      <c r="N440" s="245"/>
      <c r="O440" s="245"/>
      <c r="P440" s="245"/>
      <c r="Q440" s="245"/>
      <c r="R440" s="245"/>
      <c r="S440" s="245"/>
      <c r="T440" s="245"/>
      <c r="U440" s="245"/>
      <c r="V440" s="245"/>
      <c r="W440" s="245"/>
      <c r="X440" s="245"/>
      <c r="Y440" s="245"/>
      <c r="Z440" s="245"/>
      <c r="AA440" s="245"/>
      <c r="AB440" s="245"/>
    </row>
    <row r="441" spans="1:28">
      <c r="A441" s="245"/>
      <c r="B441" s="246"/>
      <c r="C441" s="245"/>
      <c r="D441" s="245"/>
      <c r="E441" s="245"/>
      <c r="F441" s="245"/>
      <c r="G441" s="245"/>
      <c r="H441" s="245"/>
      <c r="I441" s="245"/>
      <c r="J441" s="245"/>
      <c r="K441" s="245"/>
      <c r="L441" s="245"/>
      <c r="M441" s="245"/>
      <c r="N441" s="245"/>
      <c r="O441" s="245"/>
      <c r="P441" s="245"/>
      <c r="Q441" s="245"/>
      <c r="R441" s="245"/>
      <c r="S441" s="245"/>
      <c r="T441" s="245"/>
      <c r="U441" s="245"/>
      <c r="V441" s="245"/>
      <c r="W441" s="245"/>
      <c r="X441" s="245"/>
      <c r="Y441" s="245"/>
      <c r="Z441" s="245"/>
      <c r="AA441" s="245"/>
      <c r="AB441" s="245"/>
    </row>
    <row r="442" spans="1:28">
      <c r="A442" s="245"/>
      <c r="B442" s="246"/>
      <c r="C442" s="245"/>
      <c r="D442" s="245"/>
      <c r="E442" s="245"/>
      <c r="F442" s="245"/>
      <c r="G442" s="245"/>
      <c r="H442" s="245"/>
      <c r="I442" s="245"/>
      <c r="J442" s="245"/>
      <c r="K442" s="245"/>
      <c r="L442" s="245"/>
      <c r="M442" s="245"/>
      <c r="N442" s="245"/>
      <c r="O442" s="245"/>
      <c r="P442" s="245"/>
      <c r="Q442" s="245"/>
      <c r="R442" s="245"/>
      <c r="S442" s="245"/>
      <c r="T442" s="245"/>
      <c r="U442" s="245"/>
      <c r="V442" s="245"/>
      <c r="W442" s="245"/>
      <c r="X442" s="245"/>
      <c r="Y442" s="245"/>
      <c r="Z442" s="245"/>
      <c r="AA442" s="245"/>
      <c r="AB442" s="245"/>
    </row>
    <row r="443" spans="1:28">
      <c r="A443" s="245"/>
      <c r="B443" s="246"/>
      <c r="C443" s="245"/>
      <c r="D443" s="245"/>
      <c r="E443" s="245"/>
      <c r="F443" s="245"/>
      <c r="G443" s="245"/>
      <c r="H443" s="245"/>
      <c r="I443" s="245"/>
      <c r="J443" s="245"/>
      <c r="K443" s="245"/>
      <c r="L443" s="245"/>
      <c r="M443" s="245"/>
      <c r="N443" s="245"/>
      <c r="O443" s="245"/>
      <c r="P443" s="245"/>
      <c r="Q443" s="245"/>
      <c r="R443" s="245"/>
      <c r="S443" s="245"/>
      <c r="T443" s="245"/>
      <c r="U443" s="245"/>
      <c r="V443" s="245"/>
      <c r="W443" s="245"/>
      <c r="X443" s="245"/>
      <c r="Y443" s="245"/>
      <c r="Z443" s="245"/>
      <c r="AA443" s="245"/>
      <c r="AB443" s="245"/>
    </row>
    <row r="444" spans="1:28">
      <c r="A444" s="245"/>
      <c r="B444" s="246"/>
      <c r="C444" s="245"/>
      <c r="D444" s="245"/>
      <c r="E444" s="245"/>
      <c r="F444" s="245"/>
      <c r="G444" s="245"/>
      <c r="H444" s="245"/>
      <c r="I444" s="245"/>
      <c r="J444" s="245"/>
      <c r="K444" s="245"/>
      <c r="L444" s="245"/>
      <c r="M444" s="245"/>
      <c r="N444" s="245"/>
      <c r="O444" s="245"/>
      <c r="P444" s="245"/>
      <c r="Q444" s="245"/>
      <c r="R444" s="245"/>
      <c r="S444" s="245"/>
      <c r="T444" s="245"/>
      <c r="U444" s="245"/>
      <c r="V444" s="245"/>
      <c r="W444" s="245"/>
      <c r="X444" s="245"/>
      <c r="Y444" s="245"/>
      <c r="Z444" s="245"/>
      <c r="AA444" s="245"/>
      <c r="AB444" s="245"/>
    </row>
    <row r="445" spans="1:28">
      <c r="A445" s="245"/>
      <c r="B445" s="246"/>
      <c r="C445" s="245"/>
      <c r="D445" s="245"/>
      <c r="E445" s="245"/>
      <c r="F445" s="245"/>
      <c r="G445" s="245"/>
      <c r="H445" s="245"/>
      <c r="I445" s="245"/>
      <c r="J445" s="245"/>
      <c r="K445" s="245"/>
      <c r="L445" s="245"/>
      <c r="M445" s="245"/>
      <c r="N445" s="245"/>
      <c r="O445" s="245"/>
      <c r="P445" s="245"/>
      <c r="Q445" s="245"/>
      <c r="R445" s="245"/>
      <c r="S445" s="245"/>
      <c r="T445" s="245"/>
      <c r="U445" s="245"/>
      <c r="V445" s="245"/>
      <c r="W445" s="245"/>
      <c r="X445" s="245"/>
      <c r="Y445" s="245"/>
      <c r="Z445" s="245"/>
      <c r="AA445" s="245"/>
      <c r="AB445" s="245"/>
    </row>
    <row r="446" spans="1:28">
      <c r="A446" s="245"/>
      <c r="B446" s="246"/>
      <c r="C446" s="245"/>
      <c r="D446" s="245"/>
      <c r="E446" s="245"/>
      <c r="F446" s="245"/>
      <c r="G446" s="245"/>
      <c r="H446" s="245"/>
      <c r="I446" s="245"/>
      <c r="J446" s="245"/>
      <c r="K446" s="245"/>
      <c r="L446" s="245"/>
      <c r="M446" s="245"/>
      <c r="N446" s="245"/>
      <c r="O446" s="245"/>
      <c r="P446" s="245"/>
      <c r="Q446" s="245"/>
      <c r="R446" s="245"/>
      <c r="S446" s="245"/>
      <c r="T446" s="245"/>
      <c r="U446" s="245"/>
      <c r="V446" s="245"/>
      <c r="W446" s="245"/>
      <c r="X446" s="245"/>
      <c r="Y446" s="245"/>
      <c r="Z446" s="245"/>
      <c r="AA446" s="245"/>
      <c r="AB446" s="245"/>
    </row>
    <row r="447" spans="1:28">
      <c r="A447" s="245"/>
      <c r="B447" s="246"/>
      <c r="C447" s="245"/>
      <c r="D447" s="245"/>
      <c r="E447" s="245"/>
      <c r="F447" s="245"/>
      <c r="G447" s="245"/>
      <c r="H447" s="245"/>
      <c r="I447" s="245"/>
      <c r="J447" s="245"/>
      <c r="K447" s="245"/>
      <c r="L447" s="245"/>
      <c r="M447" s="245"/>
      <c r="N447" s="245"/>
      <c r="O447" s="245"/>
      <c r="P447" s="245"/>
      <c r="Q447" s="245"/>
      <c r="R447" s="245"/>
      <c r="S447" s="245"/>
      <c r="T447" s="245"/>
      <c r="U447" s="245"/>
      <c r="V447" s="245"/>
      <c r="W447" s="245"/>
      <c r="X447" s="245"/>
      <c r="Y447" s="245"/>
      <c r="Z447" s="245"/>
      <c r="AA447" s="245"/>
      <c r="AB447" s="245"/>
    </row>
    <row r="448" spans="1:28">
      <c r="A448" s="245"/>
      <c r="B448" s="246"/>
      <c r="C448" s="245"/>
      <c r="D448" s="245"/>
      <c r="E448" s="245"/>
      <c r="F448" s="245"/>
      <c r="G448" s="245"/>
      <c r="H448" s="245"/>
      <c r="I448" s="245"/>
      <c r="J448" s="245"/>
      <c r="K448" s="245"/>
      <c r="L448" s="245"/>
      <c r="M448" s="245"/>
      <c r="N448" s="245"/>
      <c r="O448" s="245"/>
      <c r="P448" s="245"/>
      <c r="Q448" s="245"/>
      <c r="R448" s="245"/>
      <c r="S448" s="245"/>
      <c r="T448" s="245"/>
      <c r="U448" s="245"/>
      <c r="V448" s="245"/>
      <c r="W448" s="245"/>
      <c r="X448" s="245"/>
      <c r="Y448" s="245"/>
      <c r="Z448" s="245"/>
      <c r="AA448" s="245"/>
      <c r="AB448" s="245"/>
    </row>
    <row r="449" spans="1:28">
      <c r="A449" s="245"/>
      <c r="B449" s="246"/>
      <c r="C449" s="245"/>
      <c r="D449" s="245"/>
      <c r="E449" s="245"/>
      <c r="F449" s="245"/>
      <c r="G449" s="245"/>
      <c r="H449" s="245"/>
      <c r="I449" s="245"/>
      <c r="J449" s="245"/>
      <c r="K449" s="245"/>
      <c r="L449" s="245"/>
      <c r="M449" s="245"/>
      <c r="N449" s="245"/>
      <c r="O449" s="245"/>
      <c r="P449" s="245"/>
      <c r="Q449" s="245"/>
      <c r="R449" s="245"/>
      <c r="S449" s="245"/>
      <c r="T449" s="245"/>
      <c r="U449" s="245"/>
      <c r="V449" s="245"/>
      <c r="W449" s="245"/>
      <c r="X449" s="245"/>
      <c r="Y449" s="245"/>
      <c r="Z449" s="245"/>
      <c r="AA449" s="245"/>
      <c r="AB449" s="245"/>
    </row>
    <row r="450" spans="1:28">
      <c r="A450" s="245"/>
      <c r="B450" s="246"/>
      <c r="C450" s="245"/>
      <c r="D450" s="245"/>
      <c r="E450" s="245"/>
      <c r="F450" s="245"/>
      <c r="G450" s="245"/>
      <c r="H450" s="245"/>
      <c r="I450" s="245"/>
      <c r="J450" s="245"/>
      <c r="K450" s="245"/>
      <c r="L450" s="245"/>
      <c r="M450" s="245"/>
      <c r="N450" s="245"/>
      <c r="O450" s="245"/>
      <c r="P450" s="245"/>
      <c r="Q450" s="245"/>
      <c r="R450" s="245"/>
      <c r="S450" s="245"/>
      <c r="T450" s="245"/>
      <c r="U450" s="245"/>
      <c r="V450" s="245"/>
      <c r="W450" s="245"/>
      <c r="X450" s="245"/>
      <c r="Y450" s="245"/>
      <c r="Z450" s="245"/>
      <c r="AA450" s="245"/>
      <c r="AB450" s="245"/>
    </row>
    <row r="451" spans="1:28">
      <c r="A451" s="245"/>
      <c r="B451" s="246"/>
      <c r="C451" s="245"/>
      <c r="D451" s="245"/>
      <c r="E451" s="245"/>
      <c r="F451" s="245"/>
      <c r="G451" s="245"/>
      <c r="H451" s="245"/>
      <c r="I451" s="245"/>
      <c r="J451" s="245"/>
      <c r="K451" s="245"/>
      <c r="L451" s="245"/>
      <c r="M451" s="245"/>
      <c r="N451" s="245"/>
      <c r="O451" s="245"/>
      <c r="P451" s="245"/>
      <c r="Q451" s="245"/>
      <c r="R451" s="245"/>
      <c r="S451" s="245"/>
      <c r="T451" s="245"/>
      <c r="U451" s="245"/>
      <c r="V451" s="245"/>
      <c r="W451" s="245"/>
      <c r="X451" s="245"/>
      <c r="Y451" s="245"/>
      <c r="Z451" s="245"/>
      <c r="AA451" s="245"/>
      <c r="AB451" s="245"/>
    </row>
    <row r="452" spans="1:28">
      <c r="A452" s="245"/>
      <c r="B452" s="246"/>
      <c r="C452" s="245"/>
      <c r="D452" s="245"/>
      <c r="E452" s="245"/>
      <c r="F452" s="245"/>
      <c r="G452" s="245"/>
      <c r="H452" s="245"/>
      <c r="I452" s="245"/>
      <c r="J452" s="245"/>
      <c r="K452" s="245"/>
      <c r="L452" s="245"/>
      <c r="M452" s="245"/>
      <c r="N452" s="245"/>
      <c r="O452" s="245"/>
      <c r="P452" s="245"/>
      <c r="Q452" s="245"/>
      <c r="R452" s="245"/>
      <c r="S452" s="245"/>
      <c r="T452" s="245"/>
      <c r="U452" s="245"/>
      <c r="V452" s="245"/>
      <c r="W452" s="245"/>
      <c r="X452" s="245"/>
      <c r="Y452" s="245"/>
      <c r="Z452" s="245"/>
      <c r="AA452" s="245"/>
      <c r="AB452" s="245"/>
    </row>
    <row r="453" spans="1:28">
      <c r="A453" s="245"/>
      <c r="B453" s="246"/>
      <c r="C453" s="245"/>
      <c r="D453" s="245"/>
      <c r="E453" s="245"/>
      <c r="F453" s="245"/>
      <c r="G453" s="245"/>
      <c r="H453" s="245"/>
      <c r="I453" s="245"/>
      <c r="J453" s="245"/>
      <c r="K453" s="245"/>
      <c r="L453" s="245"/>
      <c r="M453" s="245"/>
      <c r="N453" s="245"/>
      <c r="O453" s="245"/>
      <c r="P453" s="245"/>
      <c r="Q453" s="245"/>
      <c r="R453" s="245"/>
      <c r="S453" s="245"/>
      <c r="T453" s="245"/>
      <c r="U453" s="245"/>
      <c r="V453" s="245"/>
      <c r="W453" s="245"/>
      <c r="X453" s="245"/>
      <c r="Y453" s="245"/>
      <c r="Z453" s="245"/>
      <c r="AA453" s="245"/>
      <c r="AB453" s="245"/>
    </row>
    <row r="454" spans="1:28">
      <c r="A454" s="245"/>
      <c r="B454" s="246"/>
      <c r="C454" s="245"/>
      <c r="D454" s="245"/>
      <c r="E454" s="245"/>
      <c r="F454" s="245"/>
      <c r="G454" s="245"/>
      <c r="H454" s="245"/>
      <c r="I454" s="245"/>
      <c r="J454" s="245"/>
      <c r="K454" s="245"/>
      <c r="L454" s="245"/>
      <c r="M454" s="245"/>
      <c r="N454" s="245"/>
      <c r="O454" s="245"/>
      <c r="P454" s="245"/>
      <c r="Q454" s="245"/>
      <c r="R454" s="245"/>
      <c r="S454" s="245"/>
      <c r="T454" s="245"/>
      <c r="U454" s="245"/>
      <c r="V454" s="245"/>
      <c r="W454" s="245"/>
      <c r="X454" s="245"/>
      <c r="Y454" s="245"/>
      <c r="Z454" s="245"/>
      <c r="AA454" s="245"/>
      <c r="AB454" s="245"/>
    </row>
    <row r="455" spans="1:28">
      <c r="A455" s="245"/>
      <c r="B455" s="246"/>
      <c r="C455" s="245"/>
      <c r="D455" s="245"/>
      <c r="E455" s="245"/>
      <c r="F455" s="245"/>
      <c r="G455" s="245"/>
      <c r="H455" s="245"/>
      <c r="I455" s="245"/>
      <c r="J455" s="245"/>
      <c r="K455" s="245"/>
      <c r="L455" s="245"/>
      <c r="M455" s="245"/>
      <c r="N455" s="245"/>
      <c r="O455" s="245"/>
      <c r="P455" s="245"/>
      <c r="Q455" s="245"/>
      <c r="R455" s="245"/>
      <c r="S455" s="245"/>
      <c r="T455" s="245"/>
      <c r="U455" s="245"/>
      <c r="V455" s="245"/>
      <c r="W455" s="245"/>
      <c r="X455" s="245"/>
      <c r="Y455" s="245"/>
      <c r="Z455" s="245"/>
      <c r="AA455" s="245"/>
      <c r="AB455" s="245"/>
    </row>
    <row r="456" spans="1:28">
      <c r="A456" s="245"/>
      <c r="B456" s="246"/>
      <c r="C456" s="245"/>
      <c r="D456" s="245"/>
      <c r="E456" s="245"/>
      <c r="F456" s="245"/>
      <c r="G456" s="245"/>
      <c r="H456" s="245"/>
      <c r="I456" s="245"/>
      <c r="J456" s="245"/>
      <c r="K456" s="245"/>
      <c r="L456" s="245"/>
      <c r="M456" s="245"/>
      <c r="N456" s="245"/>
      <c r="O456" s="245"/>
      <c r="P456" s="245"/>
      <c r="Q456" s="245"/>
      <c r="R456" s="245"/>
      <c r="S456" s="245"/>
      <c r="T456" s="245"/>
      <c r="U456" s="245"/>
      <c r="V456" s="245"/>
      <c r="W456" s="245"/>
      <c r="X456" s="245"/>
      <c r="Y456" s="245"/>
      <c r="Z456" s="245"/>
      <c r="AA456" s="245"/>
      <c r="AB456" s="245"/>
    </row>
    <row r="457" spans="1:28">
      <c r="A457" s="245"/>
      <c r="B457" s="246"/>
      <c r="C457" s="245"/>
      <c r="D457" s="245"/>
      <c r="E457" s="245"/>
      <c r="F457" s="245"/>
      <c r="G457" s="245"/>
      <c r="H457" s="245"/>
      <c r="I457" s="245"/>
      <c r="J457" s="245"/>
      <c r="K457" s="245"/>
      <c r="L457" s="245"/>
      <c r="M457" s="245"/>
      <c r="N457" s="245"/>
      <c r="O457" s="245"/>
      <c r="P457" s="245"/>
      <c r="Q457" s="245"/>
      <c r="R457" s="245"/>
      <c r="S457" s="245"/>
      <c r="T457" s="245"/>
      <c r="U457" s="245"/>
      <c r="V457" s="245"/>
      <c r="W457" s="245"/>
      <c r="X457" s="245"/>
      <c r="Y457" s="245"/>
      <c r="Z457" s="245"/>
      <c r="AA457" s="245"/>
      <c r="AB457" s="245"/>
    </row>
    <row r="458" spans="1:28">
      <c r="A458" s="245"/>
      <c r="B458" s="246"/>
      <c r="C458" s="245"/>
      <c r="D458" s="245"/>
      <c r="E458" s="245"/>
      <c r="F458" s="245"/>
      <c r="G458" s="245"/>
      <c r="H458" s="245"/>
      <c r="I458" s="245"/>
      <c r="J458" s="245"/>
      <c r="K458" s="245"/>
      <c r="L458" s="245"/>
      <c r="M458" s="245"/>
      <c r="N458" s="245"/>
      <c r="O458" s="245"/>
      <c r="P458" s="245"/>
      <c r="Q458" s="245"/>
      <c r="R458" s="245"/>
      <c r="S458" s="245"/>
      <c r="T458" s="245"/>
      <c r="U458" s="245"/>
      <c r="V458" s="245"/>
      <c r="W458" s="245"/>
      <c r="X458" s="245"/>
      <c r="Y458" s="245"/>
      <c r="Z458" s="245"/>
      <c r="AA458" s="245"/>
      <c r="AB458" s="245"/>
    </row>
    <row r="459" spans="1:28">
      <c r="A459" s="245"/>
      <c r="B459" s="246"/>
      <c r="C459" s="245"/>
      <c r="D459" s="245"/>
      <c r="E459" s="245"/>
      <c r="F459" s="245"/>
      <c r="G459" s="245"/>
      <c r="H459" s="245"/>
      <c r="I459" s="245"/>
      <c r="J459" s="245"/>
      <c r="K459" s="245"/>
      <c r="L459" s="245"/>
      <c r="M459" s="245"/>
      <c r="N459" s="245"/>
      <c r="O459" s="245"/>
      <c r="P459" s="245"/>
      <c r="Q459" s="245"/>
      <c r="R459" s="245"/>
      <c r="S459" s="245"/>
      <c r="T459" s="245"/>
      <c r="U459" s="245"/>
      <c r="V459" s="245"/>
      <c r="W459" s="245"/>
      <c r="X459" s="245"/>
      <c r="Y459" s="245"/>
      <c r="Z459" s="245"/>
      <c r="AA459" s="245"/>
      <c r="AB459" s="245"/>
    </row>
    <row r="460" spans="1:28">
      <c r="A460" s="245"/>
      <c r="B460" s="246"/>
      <c r="C460" s="245"/>
      <c r="D460" s="245"/>
      <c r="E460" s="245"/>
      <c r="F460" s="245"/>
      <c r="G460" s="245"/>
      <c r="H460" s="245"/>
      <c r="I460" s="245"/>
      <c r="J460" s="245"/>
      <c r="K460" s="245"/>
      <c r="L460" s="245"/>
      <c r="M460" s="245"/>
      <c r="N460" s="245"/>
      <c r="O460" s="245"/>
      <c r="P460" s="245"/>
      <c r="Q460" s="245"/>
      <c r="R460" s="245"/>
      <c r="S460" s="245"/>
      <c r="T460" s="245"/>
      <c r="U460" s="245"/>
      <c r="V460" s="245"/>
      <c r="W460" s="245"/>
      <c r="X460" s="245"/>
      <c r="Y460" s="245"/>
      <c r="Z460" s="245"/>
      <c r="AA460" s="245"/>
      <c r="AB460" s="245"/>
    </row>
    <row r="461" spans="1:28">
      <c r="A461" s="245"/>
      <c r="B461" s="246"/>
      <c r="C461" s="245"/>
      <c r="D461" s="245"/>
      <c r="E461" s="245"/>
      <c r="F461" s="245"/>
      <c r="G461" s="245"/>
      <c r="H461" s="245"/>
      <c r="I461" s="245"/>
      <c r="J461" s="245"/>
      <c r="K461" s="245"/>
      <c r="L461" s="245"/>
      <c r="M461" s="245"/>
      <c r="N461" s="245"/>
      <c r="O461" s="245"/>
      <c r="P461" s="245"/>
      <c r="Q461" s="245"/>
      <c r="R461" s="245"/>
      <c r="S461" s="245"/>
      <c r="T461" s="245"/>
      <c r="U461" s="245"/>
      <c r="V461" s="245"/>
      <c r="W461" s="245"/>
      <c r="X461" s="245"/>
      <c r="Y461" s="245"/>
      <c r="Z461" s="245"/>
      <c r="AA461" s="245"/>
      <c r="AB461" s="245"/>
    </row>
    <row r="462" spans="1:28">
      <c r="A462" s="245"/>
      <c r="B462" s="246"/>
      <c r="C462" s="245"/>
      <c r="D462" s="245"/>
      <c r="E462" s="245"/>
      <c r="F462" s="245"/>
      <c r="G462" s="245"/>
      <c r="H462" s="245"/>
      <c r="I462" s="245"/>
      <c r="J462" s="245"/>
      <c r="K462" s="245"/>
      <c r="L462" s="245"/>
      <c r="M462" s="245"/>
      <c r="N462" s="245"/>
      <c r="O462" s="245"/>
      <c r="P462" s="245"/>
      <c r="Q462" s="245"/>
      <c r="R462" s="245"/>
      <c r="S462" s="245"/>
      <c r="T462" s="245"/>
      <c r="U462" s="245"/>
      <c r="V462" s="245"/>
      <c r="W462" s="245"/>
      <c r="X462" s="245"/>
      <c r="Y462" s="245"/>
      <c r="Z462" s="245"/>
      <c r="AA462" s="245"/>
      <c r="AB462" s="245"/>
    </row>
    <row r="463" spans="1:28">
      <c r="A463" s="245"/>
      <c r="B463" s="246"/>
      <c r="C463" s="245"/>
      <c r="D463" s="245"/>
      <c r="E463" s="245"/>
      <c r="F463" s="245"/>
      <c r="G463" s="245"/>
      <c r="H463" s="245"/>
      <c r="I463" s="245"/>
      <c r="J463" s="245"/>
      <c r="K463" s="245"/>
      <c r="L463" s="245"/>
      <c r="M463" s="245"/>
      <c r="N463" s="245"/>
      <c r="O463" s="245"/>
      <c r="P463" s="245"/>
      <c r="Q463" s="245"/>
      <c r="R463" s="245"/>
      <c r="S463" s="245"/>
      <c r="T463" s="245"/>
      <c r="U463" s="245"/>
      <c r="V463" s="245"/>
      <c r="W463" s="245"/>
      <c r="X463" s="245"/>
      <c r="Y463" s="245"/>
      <c r="Z463" s="245"/>
      <c r="AA463" s="245"/>
      <c r="AB463" s="245"/>
    </row>
    <row r="464" spans="1:28">
      <c r="A464" s="245"/>
      <c r="B464" s="246"/>
      <c r="C464" s="245"/>
      <c r="D464" s="245"/>
      <c r="E464" s="245"/>
      <c r="F464" s="245"/>
      <c r="G464" s="245"/>
      <c r="H464" s="245"/>
      <c r="I464" s="245"/>
      <c r="J464" s="245"/>
      <c r="K464" s="245"/>
      <c r="L464" s="245"/>
      <c r="M464" s="245"/>
      <c r="N464" s="245"/>
      <c r="O464" s="245"/>
      <c r="P464" s="245"/>
      <c r="Q464" s="245"/>
      <c r="R464" s="245"/>
      <c r="S464" s="245"/>
      <c r="T464" s="245"/>
      <c r="U464" s="245"/>
      <c r="V464" s="245"/>
      <c r="W464" s="245"/>
      <c r="X464" s="245"/>
      <c r="Y464" s="245"/>
      <c r="Z464" s="245"/>
      <c r="AA464" s="245"/>
      <c r="AB464" s="245"/>
    </row>
    <row r="465" spans="1:28">
      <c r="A465" s="245"/>
      <c r="B465" s="246"/>
      <c r="C465" s="245"/>
      <c r="D465" s="245"/>
      <c r="E465" s="245"/>
      <c r="F465" s="245"/>
      <c r="G465" s="245"/>
      <c r="H465" s="245"/>
      <c r="I465" s="245"/>
      <c r="J465" s="245"/>
      <c r="K465" s="245"/>
      <c r="L465" s="245"/>
      <c r="M465" s="245"/>
      <c r="N465" s="245"/>
      <c r="O465" s="245"/>
      <c r="P465" s="245"/>
      <c r="Q465" s="245"/>
      <c r="R465" s="245"/>
      <c r="S465" s="245"/>
      <c r="T465" s="245"/>
      <c r="U465" s="245"/>
      <c r="V465" s="245"/>
      <c r="W465" s="245"/>
      <c r="X465" s="245"/>
      <c r="Y465" s="245"/>
      <c r="Z465" s="245"/>
      <c r="AA465" s="245"/>
      <c r="AB465" s="245"/>
    </row>
    <row r="466" spans="1:28">
      <c r="A466" s="245"/>
      <c r="B466" s="246"/>
      <c r="C466" s="245"/>
      <c r="D466" s="245"/>
      <c r="E466" s="245"/>
      <c r="F466" s="245"/>
      <c r="G466" s="245"/>
      <c r="H466" s="245"/>
      <c r="I466" s="245"/>
      <c r="J466" s="245"/>
      <c r="K466" s="245"/>
      <c r="L466" s="245"/>
      <c r="M466" s="245"/>
      <c r="N466" s="245"/>
      <c r="O466" s="245"/>
      <c r="P466" s="245"/>
      <c r="Q466" s="245"/>
      <c r="R466" s="245"/>
      <c r="S466" s="245"/>
      <c r="T466" s="245"/>
      <c r="U466" s="245"/>
      <c r="V466" s="245"/>
      <c r="W466" s="245"/>
      <c r="X466" s="245"/>
      <c r="Y466" s="245"/>
      <c r="Z466" s="245"/>
      <c r="AA466" s="245"/>
      <c r="AB466" s="245"/>
    </row>
    <row r="467" spans="1:28">
      <c r="A467" s="245"/>
      <c r="B467" s="246"/>
      <c r="C467" s="245"/>
      <c r="D467" s="245"/>
      <c r="E467" s="245"/>
      <c r="F467" s="245"/>
      <c r="G467" s="245"/>
      <c r="H467" s="245"/>
      <c r="I467" s="245"/>
      <c r="J467" s="245"/>
      <c r="K467" s="245"/>
      <c r="L467" s="245"/>
      <c r="M467" s="245"/>
      <c r="N467" s="245"/>
      <c r="O467" s="245"/>
      <c r="P467" s="245"/>
      <c r="Q467" s="245"/>
      <c r="R467" s="245"/>
      <c r="S467" s="245"/>
      <c r="T467" s="245"/>
      <c r="U467" s="245"/>
      <c r="V467" s="245"/>
      <c r="W467" s="245"/>
      <c r="X467" s="245"/>
      <c r="Y467" s="245"/>
      <c r="Z467" s="245"/>
      <c r="AA467" s="245"/>
      <c r="AB467" s="245"/>
    </row>
    <row r="468" spans="1:28">
      <c r="A468" s="245"/>
      <c r="B468" s="246"/>
      <c r="C468" s="245"/>
      <c r="D468" s="245"/>
      <c r="E468" s="245"/>
      <c r="F468" s="245"/>
      <c r="G468" s="245"/>
      <c r="H468" s="245"/>
      <c r="I468" s="245"/>
      <c r="J468" s="245"/>
      <c r="K468" s="245"/>
      <c r="L468" s="245"/>
      <c r="M468" s="245"/>
      <c r="N468" s="245"/>
      <c r="O468" s="245"/>
      <c r="P468" s="245"/>
      <c r="Q468" s="245"/>
      <c r="R468" s="245"/>
      <c r="S468" s="245"/>
      <c r="T468" s="245"/>
      <c r="U468" s="245"/>
      <c r="V468" s="245"/>
      <c r="W468" s="245"/>
      <c r="X468" s="245"/>
      <c r="Y468" s="245"/>
      <c r="Z468" s="245"/>
      <c r="AA468" s="245"/>
      <c r="AB468" s="245"/>
    </row>
    <row r="469" spans="1:28">
      <c r="A469" s="245"/>
      <c r="B469" s="246"/>
      <c r="C469" s="245"/>
      <c r="D469" s="245"/>
      <c r="E469" s="245"/>
      <c r="F469" s="245"/>
      <c r="G469" s="245"/>
      <c r="H469" s="245"/>
      <c r="I469" s="245"/>
      <c r="J469" s="245"/>
      <c r="K469" s="245"/>
      <c r="L469" s="245"/>
      <c r="M469" s="245"/>
      <c r="N469" s="245"/>
      <c r="O469" s="245"/>
      <c r="P469" s="245"/>
      <c r="Q469" s="245"/>
      <c r="R469" s="245"/>
      <c r="S469" s="245"/>
      <c r="T469" s="245"/>
      <c r="U469" s="245"/>
      <c r="V469" s="245"/>
      <c r="W469" s="245"/>
      <c r="X469" s="245"/>
      <c r="Y469" s="245"/>
      <c r="Z469" s="245"/>
      <c r="AA469" s="245"/>
      <c r="AB469" s="245"/>
    </row>
    <row r="470" spans="1:28">
      <c r="A470" s="245"/>
      <c r="B470" s="246"/>
      <c r="C470" s="245"/>
      <c r="D470" s="245"/>
      <c r="E470" s="245"/>
      <c r="F470" s="245"/>
      <c r="G470" s="245"/>
      <c r="H470" s="245"/>
      <c r="I470" s="245"/>
      <c r="J470" s="245"/>
      <c r="K470" s="245"/>
      <c r="L470" s="245"/>
      <c r="M470" s="245"/>
      <c r="N470" s="245"/>
      <c r="O470" s="245"/>
      <c r="P470" s="245"/>
      <c r="Q470" s="245"/>
      <c r="R470" s="245"/>
      <c r="S470" s="245"/>
      <c r="T470" s="245"/>
      <c r="U470" s="245"/>
      <c r="V470" s="245"/>
      <c r="W470" s="245"/>
      <c r="X470" s="245"/>
      <c r="Y470" s="245"/>
      <c r="Z470" s="245"/>
      <c r="AA470" s="245"/>
      <c r="AB470" s="245"/>
    </row>
    <row r="471" spans="1:28">
      <c r="A471" s="245"/>
      <c r="B471" s="246"/>
      <c r="C471" s="245"/>
      <c r="D471" s="245"/>
      <c r="E471" s="245"/>
      <c r="F471" s="245"/>
      <c r="G471" s="245"/>
      <c r="H471" s="245"/>
      <c r="I471" s="245"/>
      <c r="J471" s="245"/>
      <c r="K471" s="245"/>
      <c r="L471" s="245"/>
      <c r="M471" s="245"/>
      <c r="N471" s="245"/>
      <c r="O471" s="245"/>
      <c r="P471" s="245"/>
      <c r="Q471" s="245"/>
      <c r="R471" s="245"/>
      <c r="S471" s="245"/>
      <c r="T471" s="245"/>
      <c r="U471" s="245"/>
      <c r="V471" s="245"/>
      <c r="W471" s="245"/>
      <c r="X471" s="245"/>
      <c r="Y471" s="245"/>
      <c r="Z471" s="245"/>
      <c r="AA471" s="245"/>
      <c r="AB471" s="245"/>
    </row>
    <row r="472" spans="1:28">
      <c r="A472" s="245"/>
      <c r="B472" s="246"/>
      <c r="C472" s="245"/>
      <c r="D472" s="245"/>
      <c r="E472" s="245"/>
      <c r="F472" s="245"/>
      <c r="G472" s="245"/>
      <c r="H472" s="245"/>
      <c r="I472" s="245"/>
      <c r="J472" s="245"/>
      <c r="K472" s="245"/>
      <c r="L472" s="245"/>
      <c r="M472" s="245"/>
      <c r="N472" s="245"/>
      <c r="O472" s="245"/>
      <c r="P472" s="245"/>
      <c r="Q472" s="245"/>
      <c r="R472" s="245"/>
      <c r="S472" s="245"/>
      <c r="T472" s="245"/>
      <c r="U472" s="245"/>
      <c r="V472" s="245"/>
      <c r="W472" s="245"/>
      <c r="X472" s="245"/>
      <c r="Y472" s="245"/>
      <c r="Z472" s="245"/>
      <c r="AA472" s="245"/>
      <c r="AB472" s="245"/>
    </row>
    <row r="473" spans="1:28">
      <c r="A473" s="245"/>
      <c r="B473" s="246"/>
      <c r="C473" s="245"/>
      <c r="D473" s="245"/>
      <c r="E473" s="245"/>
      <c r="F473" s="245"/>
      <c r="G473" s="245"/>
      <c r="H473" s="245"/>
      <c r="I473" s="245"/>
      <c r="J473" s="245"/>
      <c r="K473" s="245"/>
      <c r="L473" s="245"/>
      <c r="M473" s="245"/>
      <c r="N473" s="245"/>
      <c r="O473" s="245"/>
      <c r="P473" s="245"/>
      <c r="Q473" s="245"/>
      <c r="R473" s="245"/>
      <c r="S473" s="245"/>
      <c r="T473" s="245"/>
      <c r="U473" s="245"/>
      <c r="V473" s="245"/>
      <c r="W473" s="245"/>
      <c r="X473" s="245"/>
      <c r="Y473" s="245"/>
      <c r="Z473" s="245"/>
      <c r="AA473" s="245"/>
      <c r="AB473" s="245"/>
    </row>
    <row r="474" spans="1:28">
      <c r="A474" s="245"/>
      <c r="B474" s="246"/>
      <c r="C474" s="245"/>
      <c r="D474" s="245"/>
      <c r="E474" s="245"/>
      <c r="F474" s="245"/>
      <c r="G474" s="245"/>
      <c r="H474" s="245"/>
      <c r="I474" s="245"/>
      <c r="J474" s="245"/>
      <c r="K474" s="245"/>
      <c r="L474" s="245"/>
      <c r="M474" s="245"/>
      <c r="N474" s="245"/>
      <c r="O474" s="245"/>
      <c r="P474" s="245"/>
      <c r="Q474" s="245"/>
      <c r="R474" s="245"/>
      <c r="S474" s="245"/>
      <c r="T474" s="245"/>
      <c r="U474" s="245"/>
      <c r="V474" s="245"/>
      <c r="W474" s="245"/>
      <c r="X474" s="245"/>
      <c r="Y474" s="245"/>
      <c r="Z474" s="245"/>
      <c r="AA474" s="245"/>
      <c r="AB474" s="245"/>
    </row>
  </sheetData>
  <mergeCells count="63">
    <mergeCell ref="C401:K401"/>
    <mergeCell ref="C415:H415"/>
    <mergeCell ref="C293:G293"/>
    <mergeCell ref="C320:F320"/>
    <mergeCell ref="C345:H345"/>
    <mergeCell ref="C346:G346"/>
    <mergeCell ref="C353:G353"/>
    <mergeCell ref="C354:G354"/>
    <mergeCell ref="E283:G283"/>
    <mergeCell ref="E284:G284"/>
    <mergeCell ref="C285:K285"/>
    <mergeCell ref="C292:G292"/>
    <mergeCell ref="C382:F382"/>
    <mergeCell ref="E278:G278"/>
    <mergeCell ref="E279:G279"/>
    <mergeCell ref="E280:G280"/>
    <mergeCell ref="E281:G281"/>
    <mergeCell ref="E282:G282"/>
    <mergeCell ref="E273:G273"/>
    <mergeCell ref="E274:G274"/>
    <mergeCell ref="E275:G275"/>
    <mergeCell ref="E276:G276"/>
    <mergeCell ref="E277:G277"/>
    <mergeCell ref="E268:G268"/>
    <mergeCell ref="E269:G269"/>
    <mergeCell ref="E270:G270"/>
    <mergeCell ref="E271:G271"/>
    <mergeCell ref="E272:G272"/>
    <mergeCell ref="E263:G263"/>
    <mergeCell ref="E264:G264"/>
    <mergeCell ref="E265:G265"/>
    <mergeCell ref="E266:G266"/>
    <mergeCell ref="E267:G267"/>
    <mergeCell ref="E258:G258"/>
    <mergeCell ref="E259:G259"/>
    <mergeCell ref="E260:G260"/>
    <mergeCell ref="E261:G261"/>
    <mergeCell ref="E262:G262"/>
    <mergeCell ref="E253:G253"/>
    <mergeCell ref="E254:G254"/>
    <mergeCell ref="E255:G255"/>
    <mergeCell ref="E256:G256"/>
    <mergeCell ref="E257:G257"/>
    <mergeCell ref="E248:G248"/>
    <mergeCell ref="E249:G249"/>
    <mergeCell ref="E250:G250"/>
    <mergeCell ref="E251:G251"/>
    <mergeCell ref="E252:G252"/>
    <mergeCell ref="C219:H219"/>
    <mergeCell ref="C220:H220"/>
    <mergeCell ref="G232:N232"/>
    <mergeCell ref="G233:N233"/>
    <mergeCell ref="C244:K244"/>
    <mergeCell ref="C113:K113"/>
    <mergeCell ref="C115:K115"/>
    <mergeCell ref="C182:C183"/>
    <mergeCell ref="C184:C186"/>
    <mergeCell ref="C199:G199"/>
    <mergeCell ref="B2:L2"/>
    <mergeCell ref="B5:L5"/>
    <mergeCell ref="C7:L7"/>
    <mergeCell ref="D12:H12"/>
    <mergeCell ref="C92:K92"/>
  </mergeCells>
  <hyperlinks>
    <hyperlink ref="A1" location="'About og Fane-Link'!A1" display="Til Forsiden" xr:uid="{00000000-0004-0000-1C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2"/>
  </sheetPr>
  <dimension ref="A1:P133"/>
  <sheetViews>
    <sheetView topLeftCell="A130" workbookViewId="0"/>
  </sheetViews>
  <sheetFormatPr defaultRowHeight="13.2"/>
  <cols>
    <col min="2" max="2" width="27.109375" customWidth="1"/>
    <col min="3" max="3" width="10" customWidth="1"/>
    <col min="4" max="4" width="11" customWidth="1"/>
    <col min="5" max="5" width="16.109375" customWidth="1"/>
    <col min="6" max="6" width="16" customWidth="1"/>
    <col min="7" max="7" width="17.109375" customWidth="1"/>
    <col min="9" max="9" width="24.33203125" bestFit="1" customWidth="1"/>
    <col min="10" max="10" width="6.6640625" bestFit="1" customWidth="1"/>
    <col min="11" max="11" width="8.44140625" bestFit="1" customWidth="1"/>
    <col min="12" max="12" width="14.33203125" customWidth="1"/>
    <col min="13" max="13" width="18.33203125" customWidth="1"/>
    <col min="14" max="14" width="19.33203125" bestFit="1" customWidth="1"/>
    <col min="15" max="15" width="10.6640625" customWidth="1"/>
    <col min="16" max="16" width="11.44140625" bestFit="1" customWidth="1"/>
  </cols>
  <sheetData>
    <row r="1" spans="1:7">
      <c r="A1" s="44" t="s">
        <v>2527</v>
      </c>
    </row>
    <row r="3" spans="1:7" ht="16.2" thickBot="1">
      <c r="B3" s="5" t="s">
        <v>396</v>
      </c>
      <c r="C3" t="s">
        <v>422</v>
      </c>
    </row>
    <row r="4" spans="1:7" ht="15.75" customHeight="1">
      <c r="B4" s="58" t="s">
        <v>327</v>
      </c>
      <c r="C4" s="59" t="s">
        <v>328</v>
      </c>
      <c r="D4" s="59" t="s">
        <v>329</v>
      </c>
      <c r="E4" s="59" t="s">
        <v>330</v>
      </c>
      <c r="F4" s="59" t="s">
        <v>330</v>
      </c>
      <c r="G4" s="60" t="s">
        <v>333</v>
      </c>
    </row>
    <row r="5" spans="1:7" ht="13.8" thickBot="1">
      <c r="B5" s="61"/>
      <c r="C5" s="62"/>
      <c r="D5" s="62"/>
      <c r="E5" s="62" t="s">
        <v>331</v>
      </c>
      <c r="F5" s="62" t="s">
        <v>332</v>
      </c>
      <c r="G5" s="63" t="s">
        <v>334</v>
      </c>
    </row>
    <row r="6" spans="1:7" ht="13.8">
      <c r="B6" s="7" t="s">
        <v>335</v>
      </c>
      <c r="C6" s="8">
        <v>130</v>
      </c>
      <c r="D6" s="8">
        <v>6.5000000000000002E-2</v>
      </c>
      <c r="E6" s="8"/>
      <c r="F6" s="8"/>
      <c r="G6" s="9">
        <v>570</v>
      </c>
    </row>
    <row r="7" spans="1:7" ht="13.8">
      <c r="B7" s="7" t="s">
        <v>336</v>
      </c>
      <c r="C7" s="8">
        <v>20</v>
      </c>
      <c r="D7" s="8">
        <v>0.02</v>
      </c>
      <c r="E7" s="8" t="s">
        <v>337</v>
      </c>
      <c r="F7" s="8">
        <v>30</v>
      </c>
      <c r="G7" s="9">
        <v>1</v>
      </c>
    </row>
    <row r="8" spans="1:7" ht="13.8">
      <c r="B8" s="7" t="s">
        <v>338</v>
      </c>
      <c r="C8" s="8">
        <v>850</v>
      </c>
      <c r="D8" s="8">
        <v>0.85</v>
      </c>
      <c r="E8" s="8" t="s">
        <v>339</v>
      </c>
      <c r="F8" s="8">
        <v>61</v>
      </c>
      <c r="G8" s="9">
        <v>50</v>
      </c>
    </row>
    <row r="9" spans="1:7" ht="13.8">
      <c r="B9" s="7" t="s">
        <v>340</v>
      </c>
      <c r="C9" s="8">
        <v>60</v>
      </c>
      <c r="D9" s="8">
        <v>0.06</v>
      </c>
      <c r="E9" s="8" t="s">
        <v>341</v>
      </c>
      <c r="F9" s="8">
        <v>8760</v>
      </c>
      <c r="G9" s="9">
        <v>525</v>
      </c>
    </row>
    <row r="10" spans="1:7" ht="13.8">
      <c r="B10" s="7" t="s">
        <v>342</v>
      </c>
      <c r="C10" s="8">
        <v>65</v>
      </c>
      <c r="D10" s="8">
        <v>6.5000000000000002E-2</v>
      </c>
      <c r="E10" s="8" t="s">
        <v>343</v>
      </c>
      <c r="F10" s="8">
        <v>365</v>
      </c>
      <c r="G10" s="9">
        <v>25</v>
      </c>
    </row>
    <row r="11" spans="1:7" ht="13.8">
      <c r="B11" s="7" t="s">
        <v>344</v>
      </c>
      <c r="C11" s="8">
        <v>2000</v>
      </c>
      <c r="D11" s="8" t="s">
        <v>345</v>
      </c>
      <c r="E11" s="8" t="s">
        <v>346</v>
      </c>
      <c r="F11" s="8">
        <v>43</v>
      </c>
      <c r="G11" s="9">
        <v>80</v>
      </c>
    </row>
    <row r="12" spans="1:7" ht="13.8">
      <c r="B12" s="7" t="s">
        <v>347</v>
      </c>
      <c r="C12" s="8">
        <v>2</v>
      </c>
      <c r="D12" s="8">
        <v>2E-3</v>
      </c>
      <c r="E12" s="8">
        <v>24</v>
      </c>
      <c r="F12" s="8">
        <v>8760</v>
      </c>
      <c r="G12" s="9">
        <v>18</v>
      </c>
    </row>
    <row r="13" spans="1:7" ht="13.8">
      <c r="B13" s="7" t="s">
        <v>348</v>
      </c>
      <c r="C13" s="8">
        <v>150</v>
      </c>
      <c r="D13" s="8">
        <v>0.15</v>
      </c>
      <c r="E13" s="8" t="s">
        <v>343</v>
      </c>
      <c r="F13" s="8">
        <v>365</v>
      </c>
      <c r="G13" s="9">
        <v>55</v>
      </c>
    </row>
    <row r="14" spans="1:7" ht="13.8">
      <c r="B14" s="7" t="s">
        <v>349</v>
      </c>
      <c r="C14" s="8">
        <v>100</v>
      </c>
      <c r="D14" s="8" t="s">
        <v>350</v>
      </c>
      <c r="E14" s="8"/>
      <c r="F14" s="8"/>
      <c r="G14" s="9">
        <v>438</v>
      </c>
    </row>
    <row r="15" spans="1:7" ht="13.8">
      <c r="B15" s="7" t="s">
        <v>351</v>
      </c>
      <c r="C15" s="8">
        <v>140</v>
      </c>
      <c r="D15" s="8" t="s">
        <v>352</v>
      </c>
      <c r="E15" s="8"/>
      <c r="F15" s="8"/>
      <c r="G15" s="9">
        <v>550</v>
      </c>
    </row>
    <row r="16" spans="1:7" ht="13.8">
      <c r="B16" s="7" t="s">
        <v>353</v>
      </c>
      <c r="C16" s="8">
        <v>60</v>
      </c>
      <c r="D16" s="8">
        <v>0.06</v>
      </c>
      <c r="E16" s="8" t="s">
        <v>354</v>
      </c>
      <c r="F16" s="8">
        <v>1460</v>
      </c>
      <c r="G16" s="9">
        <v>88</v>
      </c>
    </row>
    <row r="17" spans="2:7" ht="13.8">
      <c r="B17" s="7" t="s">
        <v>355</v>
      </c>
      <c r="C17" s="8">
        <v>800</v>
      </c>
      <c r="D17" s="8" t="s">
        <v>356</v>
      </c>
      <c r="E17" s="8" t="s">
        <v>357</v>
      </c>
      <c r="F17" s="8">
        <v>91</v>
      </c>
      <c r="G17" s="9">
        <v>75</v>
      </c>
    </row>
    <row r="18" spans="2:7" ht="13.8">
      <c r="B18" s="7" t="s">
        <v>358</v>
      </c>
      <c r="C18" s="8"/>
      <c r="D18" s="8" t="s">
        <v>359</v>
      </c>
      <c r="E18" s="8"/>
      <c r="F18" s="8"/>
      <c r="G18" s="9">
        <v>730</v>
      </c>
    </row>
    <row r="19" spans="2:7" ht="13.8">
      <c r="B19" s="7" t="s">
        <v>360</v>
      </c>
      <c r="C19" s="8">
        <v>100</v>
      </c>
      <c r="D19" s="8" t="s">
        <v>361</v>
      </c>
      <c r="E19" s="8"/>
      <c r="F19" s="8"/>
      <c r="G19" s="9">
        <v>420</v>
      </c>
    </row>
    <row r="20" spans="2:7" ht="13.8">
      <c r="B20" s="7" t="s">
        <v>362</v>
      </c>
      <c r="C20" s="8">
        <v>150</v>
      </c>
      <c r="D20" s="8" t="s">
        <v>363</v>
      </c>
      <c r="E20" s="8"/>
      <c r="F20" s="8"/>
      <c r="G20" s="9">
        <v>630</v>
      </c>
    </row>
    <row r="21" spans="2:7" ht="13.8">
      <c r="B21" s="7" t="s">
        <v>364</v>
      </c>
      <c r="C21" s="8">
        <v>110</v>
      </c>
      <c r="D21" s="8" t="s">
        <v>365</v>
      </c>
      <c r="E21" s="8"/>
      <c r="F21" s="8"/>
      <c r="G21" s="9">
        <v>256</v>
      </c>
    </row>
    <row r="22" spans="2:7" ht="13.8">
      <c r="B22" s="7" t="s">
        <v>366</v>
      </c>
      <c r="C22" s="8">
        <v>120</v>
      </c>
      <c r="D22" s="8" t="s">
        <v>367</v>
      </c>
      <c r="E22" s="8"/>
      <c r="F22" s="8"/>
      <c r="G22" s="9">
        <v>315</v>
      </c>
    </row>
    <row r="23" spans="2:7" ht="13.8">
      <c r="B23" s="7" t="s">
        <v>368</v>
      </c>
      <c r="C23" s="8">
        <v>11</v>
      </c>
      <c r="D23" s="8">
        <v>1.0999999999999999E-2</v>
      </c>
      <c r="E23" s="8" t="s">
        <v>354</v>
      </c>
      <c r="F23" s="8">
        <v>1460</v>
      </c>
      <c r="G23" s="9">
        <v>16</v>
      </c>
    </row>
    <row r="24" spans="2:7" ht="13.8">
      <c r="B24" s="7" t="s">
        <v>369</v>
      </c>
      <c r="C24" s="8">
        <v>40</v>
      </c>
      <c r="D24" s="8">
        <v>0.04</v>
      </c>
      <c r="E24" s="8" t="s">
        <v>354</v>
      </c>
      <c r="F24" s="8">
        <v>1460</v>
      </c>
      <c r="G24" s="9">
        <v>60</v>
      </c>
    </row>
    <row r="25" spans="2:7" ht="13.8">
      <c r="B25" s="7" t="s">
        <v>370</v>
      </c>
      <c r="C25" s="8">
        <v>1300</v>
      </c>
      <c r="D25" s="8"/>
      <c r="E25" s="8" t="s">
        <v>371</v>
      </c>
      <c r="F25" s="8">
        <v>61</v>
      </c>
      <c r="G25" s="9">
        <v>80</v>
      </c>
    </row>
    <row r="26" spans="2:7" ht="13.8">
      <c r="B26" s="7" t="s">
        <v>372</v>
      </c>
      <c r="C26" s="8">
        <v>130</v>
      </c>
      <c r="D26" s="8"/>
      <c r="E26" s="8"/>
      <c r="F26" s="8">
        <v>2000</v>
      </c>
      <c r="G26" s="9">
        <v>200</v>
      </c>
    </row>
    <row r="27" spans="2:7" ht="13.8">
      <c r="B27" s="7" t="s">
        <v>373</v>
      </c>
      <c r="C27" s="8"/>
      <c r="D27" s="8" t="s">
        <v>374</v>
      </c>
      <c r="E27" s="8"/>
      <c r="F27" s="8" t="s">
        <v>375</v>
      </c>
      <c r="G27" s="9">
        <v>435</v>
      </c>
    </row>
    <row r="28" spans="2:7" ht="13.8">
      <c r="B28" s="7" t="s">
        <v>376</v>
      </c>
      <c r="C28" s="8"/>
      <c r="D28" s="8" t="s">
        <v>377</v>
      </c>
      <c r="E28" s="8"/>
      <c r="F28" s="8" t="s">
        <v>375</v>
      </c>
      <c r="G28" s="9">
        <v>580</v>
      </c>
    </row>
    <row r="29" spans="2:7" ht="13.8">
      <c r="B29" s="7" t="s">
        <v>378</v>
      </c>
      <c r="C29" s="8"/>
      <c r="D29" s="8">
        <v>1</v>
      </c>
      <c r="E29" s="8"/>
      <c r="F29" s="8" t="s">
        <v>379</v>
      </c>
      <c r="G29" s="9">
        <v>195</v>
      </c>
    </row>
    <row r="30" spans="2:7" ht="13.8">
      <c r="B30" s="7" t="s">
        <v>380</v>
      </c>
      <c r="C30" s="8">
        <v>100</v>
      </c>
      <c r="D30" s="8">
        <v>0.1</v>
      </c>
      <c r="E30" s="8" t="s">
        <v>381</v>
      </c>
      <c r="F30" s="8">
        <v>1095</v>
      </c>
      <c r="G30" s="9">
        <v>110</v>
      </c>
    </row>
    <row r="31" spans="2:7" ht="13.8">
      <c r="B31" s="7" t="s">
        <v>382</v>
      </c>
      <c r="C31" s="8">
        <v>1000</v>
      </c>
      <c r="D31" s="8">
        <v>0.4</v>
      </c>
      <c r="E31" s="8" t="s">
        <v>383</v>
      </c>
      <c r="F31" s="8">
        <v>52</v>
      </c>
      <c r="G31" s="9">
        <v>20</v>
      </c>
    </row>
    <row r="32" spans="2:7" ht="13.8">
      <c r="B32" s="7" t="s">
        <v>384</v>
      </c>
      <c r="C32" s="8">
        <v>1000</v>
      </c>
      <c r="D32" s="8">
        <v>1</v>
      </c>
      <c r="E32" s="8" t="s">
        <v>383</v>
      </c>
      <c r="F32" s="8">
        <v>52</v>
      </c>
      <c r="G32" s="9">
        <v>52</v>
      </c>
    </row>
    <row r="33" spans="2:9" ht="13.8">
      <c r="B33" s="7" t="s">
        <v>385</v>
      </c>
      <c r="C33" s="8">
        <v>100</v>
      </c>
      <c r="D33" s="8">
        <v>0.1</v>
      </c>
      <c r="E33" s="8" t="s">
        <v>381</v>
      </c>
      <c r="F33" s="8">
        <v>1095</v>
      </c>
      <c r="G33" s="9">
        <v>110</v>
      </c>
    </row>
    <row r="34" spans="2:9" ht="13.8">
      <c r="B34" s="7" t="s">
        <v>386</v>
      </c>
      <c r="C34" s="8"/>
      <c r="D34" s="8" t="s">
        <v>387</v>
      </c>
      <c r="E34" s="8"/>
      <c r="F34" s="8" t="s">
        <v>388</v>
      </c>
      <c r="G34" s="9">
        <v>715</v>
      </c>
    </row>
    <row r="35" spans="2:9" ht="13.8">
      <c r="B35" s="10" t="s">
        <v>389</v>
      </c>
      <c r="C35" s="947"/>
      <c r="D35" s="947"/>
      <c r="E35" s="947"/>
      <c r="F35" s="947"/>
      <c r="G35" s="11" t="s">
        <v>391</v>
      </c>
    </row>
    <row r="36" spans="2:9" ht="13.8">
      <c r="B36" s="10" t="s">
        <v>390</v>
      </c>
      <c r="C36" s="948"/>
      <c r="D36" s="948"/>
      <c r="E36" s="948"/>
      <c r="F36" s="948"/>
      <c r="G36" s="11" t="s">
        <v>392</v>
      </c>
    </row>
    <row r="37" spans="2:9" ht="13.8">
      <c r="B37" s="6"/>
      <c r="C37" s="949"/>
      <c r="D37" s="949"/>
      <c r="E37" s="949"/>
      <c r="F37" s="949"/>
      <c r="G37" s="9" t="s">
        <v>393</v>
      </c>
    </row>
    <row r="38" spans="2:9" ht="14.4" thickBot="1">
      <c r="B38" s="12" t="s">
        <v>394</v>
      </c>
      <c r="C38" s="13">
        <v>55</v>
      </c>
      <c r="D38" s="13">
        <v>5.5E-2</v>
      </c>
      <c r="E38" s="13" t="s">
        <v>395</v>
      </c>
      <c r="F38" s="13">
        <v>730</v>
      </c>
      <c r="G38" s="14">
        <v>40</v>
      </c>
    </row>
    <row r="40" spans="2:9" ht="36" customHeight="1">
      <c r="B40" t="s">
        <v>615</v>
      </c>
    </row>
    <row r="41" spans="2:9" ht="26.25" customHeight="1" thickBot="1"/>
    <row r="42" spans="2:9">
      <c r="B42" s="58" t="s">
        <v>744</v>
      </c>
      <c r="C42" s="59" t="s">
        <v>159</v>
      </c>
      <c r="D42" s="59" t="s">
        <v>159</v>
      </c>
      <c r="E42" s="64" t="s">
        <v>159</v>
      </c>
      <c r="F42" s="59" t="s">
        <v>160</v>
      </c>
      <c r="G42" s="64" t="s">
        <v>160</v>
      </c>
      <c r="H42" s="59" t="s">
        <v>161</v>
      </c>
      <c r="I42" s="60" t="s">
        <v>161</v>
      </c>
    </row>
    <row r="43" spans="2:9">
      <c r="B43" s="65"/>
      <c r="C43" s="66" t="s">
        <v>154</v>
      </c>
      <c r="D43" s="67" t="s">
        <v>155</v>
      </c>
      <c r="E43" s="56" t="s">
        <v>157</v>
      </c>
      <c r="F43" s="66" t="s">
        <v>154</v>
      </c>
      <c r="G43" s="56" t="s">
        <v>155</v>
      </c>
      <c r="H43" s="66" t="s">
        <v>154</v>
      </c>
      <c r="I43" s="68" t="s">
        <v>157</v>
      </c>
    </row>
    <row r="44" spans="2:9">
      <c r="B44" s="65"/>
      <c r="C44" s="66" t="s">
        <v>156</v>
      </c>
      <c r="D44" s="66" t="s">
        <v>156</v>
      </c>
      <c r="E44" s="55" t="s">
        <v>156</v>
      </c>
      <c r="F44" s="66" t="s">
        <v>156</v>
      </c>
      <c r="G44" s="55" t="s">
        <v>156</v>
      </c>
      <c r="H44" s="66" t="s">
        <v>616</v>
      </c>
      <c r="I44" s="69" t="s">
        <v>616</v>
      </c>
    </row>
    <row r="45" spans="2:9">
      <c r="B45" s="65" t="s">
        <v>153</v>
      </c>
      <c r="C45" s="70">
        <v>530</v>
      </c>
      <c r="D45" s="70">
        <v>12</v>
      </c>
      <c r="E45" s="57">
        <v>690</v>
      </c>
      <c r="F45" s="70">
        <v>4816</v>
      </c>
      <c r="G45" s="57">
        <v>104</v>
      </c>
      <c r="H45" s="70">
        <v>52</v>
      </c>
      <c r="I45" s="71">
        <v>26</v>
      </c>
    </row>
    <row r="46" spans="2:9">
      <c r="B46" s="65" t="s">
        <v>158</v>
      </c>
      <c r="C46" s="70">
        <v>340</v>
      </c>
      <c r="D46" s="70">
        <v>11</v>
      </c>
      <c r="E46" s="57">
        <v>350</v>
      </c>
      <c r="F46" s="70">
        <v>-2577</v>
      </c>
      <c r="G46" s="57">
        <v>119</v>
      </c>
      <c r="H46" s="70">
        <v>33</v>
      </c>
      <c r="I46" s="71">
        <v>21</v>
      </c>
    </row>
    <row r="47" spans="2:9">
      <c r="B47" s="65"/>
      <c r="C47" s="70"/>
      <c r="D47" s="70"/>
      <c r="E47" s="57"/>
      <c r="F47" s="70"/>
      <c r="G47" s="57"/>
      <c r="H47" s="70"/>
      <c r="I47" s="71"/>
    </row>
    <row r="48" spans="2:9">
      <c r="B48" s="65" t="s">
        <v>163</v>
      </c>
      <c r="C48" s="70">
        <v>22.18</v>
      </c>
      <c r="D48" s="70" t="s">
        <v>164</v>
      </c>
      <c r="E48" s="57"/>
      <c r="F48" s="70">
        <v>33.21</v>
      </c>
      <c r="G48" s="57" t="s">
        <v>164</v>
      </c>
      <c r="H48" s="70"/>
      <c r="I48" s="71"/>
    </row>
    <row r="49" spans="2:16" ht="13.8" thickBot="1">
      <c r="B49" s="61" t="s">
        <v>165</v>
      </c>
      <c r="C49" s="72">
        <v>16.47</v>
      </c>
      <c r="D49" s="72" t="s">
        <v>164</v>
      </c>
      <c r="E49" s="73"/>
      <c r="F49" s="72">
        <v>19.39</v>
      </c>
      <c r="G49" s="73" t="s">
        <v>164</v>
      </c>
      <c r="H49" s="72"/>
      <c r="I49" s="74"/>
    </row>
    <row r="51" spans="2:16" ht="13.8" thickBot="1">
      <c r="N51" s="3"/>
    </row>
    <row r="52" spans="2:16">
      <c r="B52" s="58" t="s">
        <v>745</v>
      </c>
      <c r="C52" s="60" t="s">
        <v>747</v>
      </c>
      <c r="J52" s="41" t="s">
        <v>614</v>
      </c>
    </row>
    <row r="53" spans="2:16">
      <c r="B53" s="65"/>
      <c r="C53" s="69" t="s">
        <v>721</v>
      </c>
    </row>
    <row r="54" spans="2:16">
      <c r="B54" s="75" t="s">
        <v>746</v>
      </c>
      <c r="C54" s="71">
        <v>0.27289999999999998</v>
      </c>
    </row>
    <row r="55" spans="2:16">
      <c r="B55" s="75" t="s">
        <v>748</v>
      </c>
      <c r="C55" s="71">
        <v>0.20563000000000001</v>
      </c>
    </row>
    <row r="56" spans="2:16">
      <c r="B56" s="75" t="s">
        <v>749</v>
      </c>
      <c r="C56" s="71">
        <v>0.28078999999999998</v>
      </c>
    </row>
    <row r="57" spans="2:16">
      <c r="B57" s="75" t="s">
        <v>750</v>
      </c>
      <c r="C57" s="71">
        <v>0</v>
      </c>
    </row>
    <row r="58" spans="2:16">
      <c r="B58" s="75" t="s">
        <v>724</v>
      </c>
      <c r="C58" s="71">
        <v>0.50900000000000001</v>
      </c>
    </row>
    <row r="59" spans="2:16">
      <c r="B59" s="75" t="s">
        <v>178</v>
      </c>
      <c r="C59" s="71">
        <v>0.13284000000000001</v>
      </c>
    </row>
    <row r="60" spans="2:16" ht="16.2" thickBot="1">
      <c r="B60" s="76" t="s">
        <v>725</v>
      </c>
      <c r="C60" s="74">
        <v>0.50900000000000001</v>
      </c>
      <c r="M60" s="23" t="s">
        <v>518</v>
      </c>
      <c r="P60" s="42"/>
    </row>
    <row r="61" spans="2:16">
      <c r="M61" s="58"/>
      <c r="N61" s="59"/>
      <c r="O61" s="59" t="s">
        <v>520</v>
      </c>
      <c r="P61" s="92" t="s">
        <v>6</v>
      </c>
    </row>
    <row r="62" spans="2:16" ht="13.8" thickBot="1">
      <c r="M62" s="65" t="s">
        <v>521</v>
      </c>
      <c r="N62" s="70" t="s">
        <v>54</v>
      </c>
      <c r="O62" s="93">
        <v>8330</v>
      </c>
      <c r="P62" s="88" t="s">
        <v>519</v>
      </c>
    </row>
    <row r="63" spans="2:16">
      <c r="B63" s="58" t="s">
        <v>751</v>
      </c>
      <c r="C63" s="59" t="s">
        <v>753</v>
      </c>
      <c r="D63" s="60" t="s">
        <v>753</v>
      </c>
      <c r="M63" s="65"/>
      <c r="N63" s="70" t="s">
        <v>412</v>
      </c>
      <c r="O63" s="93">
        <v>18699</v>
      </c>
      <c r="P63" s="88" t="s">
        <v>519</v>
      </c>
    </row>
    <row r="64" spans="2:16">
      <c r="B64" s="65"/>
      <c r="C64" s="77" t="s">
        <v>759</v>
      </c>
      <c r="D64" s="78" t="s">
        <v>754</v>
      </c>
      <c r="M64" s="65"/>
      <c r="N64" s="70" t="s">
        <v>2</v>
      </c>
      <c r="O64" s="70">
        <v>317.71100000000001</v>
      </c>
      <c r="P64" s="88" t="s">
        <v>430</v>
      </c>
    </row>
    <row r="65" spans="2:16">
      <c r="B65" s="75" t="s">
        <v>752</v>
      </c>
      <c r="C65" s="70">
        <v>36</v>
      </c>
      <c r="D65" s="71"/>
      <c r="M65" s="65"/>
      <c r="N65" s="70"/>
      <c r="O65" s="70"/>
      <c r="P65" s="88"/>
    </row>
    <row r="66" spans="2:16">
      <c r="B66" s="75" t="s">
        <v>178</v>
      </c>
      <c r="C66" s="70">
        <v>25</v>
      </c>
      <c r="D66" s="71">
        <v>35</v>
      </c>
      <c r="M66" s="65" t="s">
        <v>522</v>
      </c>
      <c r="N66" s="70" t="s">
        <v>523</v>
      </c>
      <c r="O66" s="70">
        <v>4.9000000000000004</v>
      </c>
      <c r="P66" s="88" t="s">
        <v>524</v>
      </c>
    </row>
    <row r="67" spans="2:16">
      <c r="B67" s="75" t="s">
        <v>755</v>
      </c>
      <c r="C67" s="70">
        <v>35</v>
      </c>
      <c r="D67" s="71"/>
      <c r="M67" s="65"/>
      <c r="N67" s="70" t="s">
        <v>525</v>
      </c>
      <c r="O67" s="70">
        <v>18</v>
      </c>
      <c r="P67" s="88" t="s">
        <v>524</v>
      </c>
    </row>
    <row r="68" spans="2:16">
      <c r="B68" s="75" t="s">
        <v>756</v>
      </c>
      <c r="C68" s="70">
        <v>40</v>
      </c>
      <c r="D68" s="71"/>
      <c r="M68" s="65"/>
      <c r="N68" s="70"/>
      <c r="O68" s="70"/>
      <c r="P68" s="88"/>
    </row>
    <row r="69" spans="2:16">
      <c r="B69" s="75" t="s">
        <v>757</v>
      </c>
      <c r="C69" s="70">
        <v>45</v>
      </c>
      <c r="D69" s="71">
        <v>50</v>
      </c>
      <c r="M69" s="65" t="s">
        <v>526</v>
      </c>
      <c r="N69" s="70" t="s">
        <v>527</v>
      </c>
      <c r="O69" s="70">
        <v>965</v>
      </c>
      <c r="P69" s="88" t="s">
        <v>88</v>
      </c>
    </row>
    <row r="70" spans="2:16">
      <c r="B70" s="75" t="s">
        <v>159</v>
      </c>
      <c r="C70" s="70">
        <v>70</v>
      </c>
      <c r="D70" s="71">
        <v>75</v>
      </c>
      <c r="M70" s="65"/>
      <c r="N70" s="70" t="s">
        <v>506</v>
      </c>
      <c r="O70" s="70">
        <v>241</v>
      </c>
      <c r="P70" s="88" t="s">
        <v>519</v>
      </c>
    </row>
    <row r="71" spans="2:16">
      <c r="B71" s="75" t="s">
        <v>758</v>
      </c>
      <c r="C71" s="70">
        <v>15</v>
      </c>
      <c r="D71" s="71">
        <v>20</v>
      </c>
      <c r="M71" s="65"/>
      <c r="N71" s="70" t="s">
        <v>528</v>
      </c>
      <c r="O71" s="70">
        <v>164.4</v>
      </c>
      <c r="P71" s="88" t="s">
        <v>519</v>
      </c>
    </row>
    <row r="72" spans="2:16" ht="13.8" thickBot="1">
      <c r="B72" s="76" t="s">
        <v>760</v>
      </c>
      <c r="C72" s="72">
        <v>2</v>
      </c>
      <c r="D72" s="74"/>
      <c r="M72" s="65"/>
      <c r="N72" s="70" t="s">
        <v>529</v>
      </c>
      <c r="O72" s="93">
        <v>3956</v>
      </c>
      <c r="P72" s="88" t="s">
        <v>519</v>
      </c>
    </row>
    <row r="73" spans="2:16" ht="13.8" thickBot="1">
      <c r="M73" s="65"/>
      <c r="N73" s="70" t="s">
        <v>530</v>
      </c>
      <c r="O73" s="93">
        <v>3599</v>
      </c>
      <c r="P73" s="88" t="s">
        <v>519</v>
      </c>
    </row>
    <row r="74" spans="2:16">
      <c r="B74" s="58" t="s">
        <v>766</v>
      </c>
      <c r="C74" s="59" t="s">
        <v>767</v>
      </c>
      <c r="D74" s="59" t="s">
        <v>768</v>
      </c>
      <c r="E74" s="60" t="s">
        <v>769</v>
      </c>
      <c r="M74" s="65"/>
      <c r="N74" s="70" t="s">
        <v>531</v>
      </c>
      <c r="O74" s="93">
        <v>4997</v>
      </c>
      <c r="P74" s="88" t="s">
        <v>519</v>
      </c>
    </row>
    <row r="75" spans="2:16">
      <c r="B75" s="75" t="s">
        <v>761</v>
      </c>
      <c r="C75" s="70">
        <v>100</v>
      </c>
      <c r="D75" s="70"/>
      <c r="E75" s="71">
        <v>4</v>
      </c>
      <c r="M75" s="65"/>
      <c r="N75" s="70"/>
      <c r="O75" s="70"/>
      <c r="P75" s="88"/>
    </row>
    <row r="76" spans="2:16">
      <c r="B76" s="75" t="s">
        <v>762</v>
      </c>
      <c r="C76" s="70">
        <v>25</v>
      </c>
      <c r="D76" s="70">
        <v>0.14000000000000001</v>
      </c>
      <c r="E76" s="71">
        <v>8</v>
      </c>
      <c r="M76" s="65" t="s">
        <v>532</v>
      </c>
      <c r="N76" s="70" t="s">
        <v>533</v>
      </c>
      <c r="O76" s="93">
        <v>167</v>
      </c>
      <c r="P76" s="88" t="s">
        <v>88</v>
      </c>
    </row>
    <row r="77" spans="2:16" ht="13.8" thickBot="1">
      <c r="B77" s="75" t="s">
        <v>763</v>
      </c>
      <c r="C77" s="70">
        <v>1.5</v>
      </c>
      <c r="D77" s="70"/>
      <c r="E77" s="71">
        <v>14</v>
      </c>
      <c r="M77" s="61"/>
      <c r="N77" s="72" t="s">
        <v>534</v>
      </c>
      <c r="O77" s="95">
        <v>25.8</v>
      </c>
      <c r="P77" s="90" t="s">
        <v>88</v>
      </c>
    </row>
    <row r="78" spans="2:16">
      <c r="B78" s="75" t="s">
        <v>764</v>
      </c>
      <c r="C78" s="70">
        <v>5</v>
      </c>
      <c r="D78" s="70"/>
      <c r="E78" s="71">
        <v>7</v>
      </c>
      <c r="P78" s="42"/>
    </row>
    <row r="79" spans="2:16" ht="13.8" thickBot="1">
      <c r="B79" s="76" t="s">
        <v>765</v>
      </c>
      <c r="C79" s="72">
        <v>2</v>
      </c>
      <c r="D79" s="72"/>
      <c r="E79" s="74">
        <v>1</v>
      </c>
    </row>
    <row r="81" spans="2:4" ht="13.8" thickBot="1"/>
    <row r="82" spans="2:4">
      <c r="B82" s="58" t="s">
        <v>772</v>
      </c>
      <c r="C82" s="60" t="s">
        <v>162</v>
      </c>
    </row>
    <row r="83" spans="2:4">
      <c r="B83" s="75"/>
      <c r="C83" s="71"/>
    </row>
    <row r="84" spans="2:4">
      <c r="B84" s="75" t="s">
        <v>770</v>
      </c>
      <c r="C84" s="71">
        <v>50</v>
      </c>
    </row>
    <row r="85" spans="2:4">
      <c r="B85" s="75" t="s">
        <v>763</v>
      </c>
      <c r="C85" s="71">
        <v>15</v>
      </c>
    </row>
    <row r="86" spans="2:4" ht="13.8" thickBot="1">
      <c r="B86" s="76" t="s">
        <v>771</v>
      </c>
      <c r="C86" s="74">
        <v>15</v>
      </c>
    </row>
    <row r="87" spans="2:4" ht="13.8" thickBot="1"/>
    <row r="88" spans="2:4">
      <c r="B88" s="58" t="s">
        <v>1</v>
      </c>
      <c r="C88" s="59" t="s">
        <v>6</v>
      </c>
      <c r="D88" s="60" t="s">
        <v>169</v>
      </c>
    </row>
    <row r="89" spans="2:4">
      <c r="B89" s="75"/>
      <c r="C89" s="70"/>
      <c r="D89" s="71" t="s">
        <v>472</v>
      </c>
    </row>
    <row r="90" spans="2:4">
      <c r="B90" s="75" t="s">
        <v>90</v>
      </c>
      <c r="C90" s="70" t="s">
        <v>162</v>
      </c>
      <c r="D90" s="71">
        <v>2.2989999999999999</v>
      </c>
    </row>
    <row r="91" spans="2:4">
      <c r="B91" s="75" t="s">
        <v>166</v>
      </c>
      <c r="C91" s="70" t="s">
        <v>162</v>
      </c>
      <c r="D91" s="71">
        <v>2.2469999999999999</v>
      </c>
    </row>
    <row r="92" spans="2:4">
      <c r="B92" s="75" t="s">
        <v>167</v>
      </c>
      <c r="C92" s="70" t="s">
        <v>162</v>
      </c>
      <c r="D92" s="71">
        <v>2.6539999999999999</v>
      </c>
    </row>
    <row r="93" spans="2:4">
      <c r="B93" s="75" t="s">
        <v>857</v>
      </c>
      <c r="C93" s="70" t="s">
        <v>162</v>
      </c>
      <c r="D93" s="71">
        <v>2.5049999999999999</v>
      </c>
    </row>
    <row r="94" spans="2:4">
      <c r="B94" s="75" t="s">
        <v>170</v>
      </c>
      <c r="C94" s="70" t="s">
        <v>162</v>
      </c>
      <c r="D94" s="71">
        <v>2.6539999999999999</v>
      </c>
    </row>
    <row r="95" spans="2:4">
      <c r="B95" s="75" t="s">
        <v>92</v>
      </c>
      <c r="C95" s="70" t="s">
        <v>162</v>
      </c>
      <c r="D95" s="71">
        <v>3.1709999999999998</v>
      </c>
    </row>
    <row r="96" spans="2:4">
      <c r="B96" s="75" t="s">
        <v>179</v>
      </c>
      <c r="C96" s="70" t="s">
        <v>162</v>
      </c>
      <c r="D96" s="71">
        <v>5.1120000000000001</v>
      </c>
    </row>
    <row r="97" spans="1:5">
      <c r="B97" s="75" t="s">
        <v>54</v>
      </c>
      <c r="C97" s="70" t="s">
        <v>87</v>
      </c>
      <c r="D97" s="71">
        <v>2.2450000000000001</v>
      </c>
    </row>
    <row r="98" spans="1:5">
      <c r="B98" s="75" t="s">
        <v>94</v>
      </c>
      <c r="C98" s="70" t="s">
        <v>162</v>
      </c>
      <c r="D98" s="71">
        <v>2.99</v>
      </c>
    </row>
    <row r="99" spans="1:5">
      <c r="B99" s="75" t="s">
        <v>2</v>
      </c>
      <c r="C99" s="70" t="s">
        <v>430</v>
      </c>
      <c r="D99" s="71">
        <v>2.5169999999999999</v>
      </c>
    </row>
    <row r="100" spans="1:5">
      <c r="B100" s="75"/>
      <c r="C100" s="70"/>
      <c r="D100" s="71" t="s">
        <v>472</v>
      </c>
    </row>
    <row r="101" spans="1:5">
      <c r="B101" s="75" t="s">
        <v>475</v>
      </c>
      <c r="C101" s="70" t="s">
        <v>473</v>
      </c>
      <c r="D101" s="71">
        <v>0.58599999999999997</v>
      </c>
    </row>
    <row r="102" spans="1:5">
      <c r="B102" s="75" t="s">
        <v>474</v>
      </c>
      <c r="C102" s="70" t="s">
        <v>473</v>
      </c>
      <c r="D102" s="71">
        <v>0.45900000000000002</v>
      </c>
    </row>
    <row r="103" spans="1:5">
      <c r="B103" s="75" t="s">
        <v>177</v>
      </c>
      <c r="C103" s="70" t="s">
        <v>473</v>
      </c>
      <c r="D103" s="71">
        <v>0.54700000000000004</v>
      </c>
    </row>
    <row r="104" spans="1:5">
      <c r="B104" s="75"/>
      <c r="C104" s="70"/>
      <c r="D104" s="71"/>
    </row>
    <row r="105" spans="1:5" ht="13.8" thickBot="1">
      <c r="B105" s="76" t="s">
        <v>178</v>
      </c>
      <c r="C105" s="72" t="s">
        <v>476</v>
      </c>
      <c r="D105" s="74">
        <v>0.126</v>
      </c>
    </row>
    <row r="106" spans="1:5" ht="13.8" thickBot="1"/>
    <row r="107" spans="1:5" ht="39.6">
      <c r="A107" t="s">
        <v>479</v>
      </c>
      <c r="B107" s="58" t="s">
        <v>484</v>
      </c>
      <c r="C107" s="59"/>
      <c r="D107" s="91" t="s">
        <v>773</v>
      </c>
      <c r="E107" s="92" t="s">
        <v>485</v>
      </c>
    </row>
    <row r="108" spans="1:5">
      <c r="B108" s="75" t="s">
        <v>478</v>
      </c>
      <c r="C108" s="70" t="s">
        <v>477</v>
      </c>
      <c r="D108" s="70">
        <v>2.54</v>
      </c>
      <c r="E108" s="71">
        <v>41.94</v>
      </c>
    </row>
    <row r="109" spans="1:5">
      <c r="B109" s="75" t="s">
        <v>502</v>
      </c>
      <c r="C109" s="70"/>
      <c r="D109" s="70">
        <v>1.59</v>
      </c>
      <c r="E109" s="71"/>
    </row>
    <row r="110" spans="1:5">
      <c r="B110" s="75" t="s">
        <v>503</v>
      </c>
      <c r="C110" s="70"/>
      <c r="D110" s="70">
        <v>0.95</v>
      </c>
      <c r="E110" s="71"/>
    </row>
    <row r="111" spans="1:5">
      <c r="B111" s="75" t="s">
        <v>480</v>
      </c>
      <c r="C111" s="70"/>
      <c r="D111" s="70">
        <v>2.02</v>
      </c>
      <c r="E111" s="71">
        <v>33.43</v>
      </c>
    </row>
    <row r="112" spans="1:5">
      <c r="B112" s="75" t="s">
        <v>481</v>
      </c>
      <c r="C112" s="70"/>
      <c r="D112" s="70">
        <v>1.49</v>
      </c>
      <c r="E112" s="71">
        <v>24.64</v>
      </c>
    </row>
    <row r="113" spans="1:5">
      <c r="B113" s="75"/>
      <c r="C113" s="70"/>
      <c r="D113" s="70"/>
      <c r="E113" s="71"/>
    </row>
    <row r="114" spans="1:5">
      <c r="B114" s="75" t="s">
        <v>482</v>
      </c>
      <c r="C114" s="70"/>
      <c r="D114" s="70">
        <v>6.06</v>
      </c>
      <c r="E114" s="71">
        <v>100</v>
      </c>
    </row>
    <row r="115" spans="1:5">
      <c r="B115" s="75" t="s">
        <v>483</v>
      </c>
      <c r="C115" s="70"/>
      <c r="D115" s="93">
        <v>32654058</v>
      </c>
      <c r="E115" s="71"/>
    </row>
    <row r="116" spans="1:5" ht="13.8" thickBot="1">
      <c r="B116" s="76" t="s">
        <v>486</v>
      </c>
      <c r="C116" s="72"/>
      <c r="D116" s="72"/>
      <c r="E116" s="74"/>
    </row>
    <row r="119" spans="1:5" ht="13.8" thickBot="1"/>
    <row r="120" spans="1:5" ht="39.6">
      <c r="A120" t="s">
        <v>722</v>
      </c>
      <c r="B120" s="58" t="s">
        <v>719</v>
      </c>
      <c r="C120" s="94" t="s">
        <v>774</v>
      </c>
    </row>
    <row r="121" spans="1:5">
      <c r="B121" s="75" t="s">
        <v>54</v>
      </c>
      <c r="C121" s="71">
        <v>0.27300000000000002</v>
      </c>
    </row>
    <row r="122" spans="1:5">
      <c r="B122" s="75" t="s">
        <v>0</v>
      </c>
      <c r="C122" s="71">
        <v>0.20599999999999999</v>
      </c>
    </row>
    <row r="123" spans="1:5">
      <c r="B123" s="75" t="s">
        <v>723</v>
      </c>
      <c r="C123" s="71">
        <v>0</v>
      </c>
    </row>
    <row r="124" spans="1:5">
      <c r="B124" s="75" t="s">
        <v>724</v>
      </c>
      <c r="C124" s="71">
        <v>0.50900000000000001</v>
      </c>
    </row>
    <row r="125" spans="1:5">
      <c r="B125" s="75" t="s">
        <v>178</v>
      </c>
      <c r="C125" s="71">
        <v>0.13300000000000001</v>
      </c>
    </row>
    <row r="126" spans="1:5" ht="13.8" thickBot="1">
      <c r="B126" s="76" t="s">
        <v>725</v>
      </c>
      <c r="C126" s="74">
        <v>0.50900000000000001</v>
      </c>
    </row>
    <row r="128" spans="1:5">
      <c r="A128" s="4" t="s">
        <v>720</v>
      </c>
      <c r="B128" s="4" t="s">
        <v>732</v>
      </c>
      <c r="C128" s="4" t="s">
        <v>731</v>
      </c>
    </row>
    <row r="130" spans="2:4">
      <c r="B130" t="s">
        <v>730</v>
      </c>
      <c r="C130">
        <v>21</v>
      </c>
    </row>
    <row r="131" spans="2:4">
      <c r="B131" t="s">
        <v>726</v>
      </c>
      <c r="C131">
        <v>10.6</v>
      </c>
      <c r="D131" s="3" t="s">
        <v>727</v>
      </c>
    </row>
    <row r="132" spans="2:4">
      <c r="B132" t="s">
        <v>728</v>
      </c>
      <c r="C132">
        <v>4</v>
      </c>
    </row>
    <row r="133" spans="2:4">
      <c r="B133" t="s">
        <v>729</v>
      </c>
      <c r="C133">
        <v>1.5</v>
      </c>
    </row>
  </sheetData>
  <mergeCells count="4">
    <mergeCell ref="E35:E37"/>
    <mergeCell ref="F35:F37"/>
    <mergeCell ref="C35:C37"/>
    <mergeCell ref="D35:D37"/>
  </mergeCells>
  <phoneticPr fontId="2" type="noConversion"/>
  <hyperlinks>
    <hyperlink ref="A1" location="'About og Fane-Link'!A1" display="Til Forsiden" xr:uid="{00000000-0004-0000-0200-000000000000}"/>
  </hyperlinks>
  <printOptions gridLines="1"/>
  <pageMargins left="0.75" right="0.75" top="1" bottom="1" header="0" footer="0"/>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H96"/>
  <sheetViews>
    <sheetView workbookViewId="0"/>
  </sheetViews>
  <sheetFormatPr defaultRowHeight="13.2"/>
  <cols>
    <col min="1" max="1" width="27.5546875" customWidth="1"/>
    <col min="2" max="2" width="17.6640625" customWidth="1"/>
    <col min="7" max="7" width="15.109375" customWidth="1"/>
  </cols>
  <sheetData>
    <row r="1" spans="1:8">
      <c r="A1" s="44" t="s">
        <v>2527</v>
      </c>
    </row>
    <row r="2" spans="1:8">
      <c r="A2" s="1060" t="s">
        <v>2072</v>
      </c>
      <c r="B2" s="1060"/>
      <c r="C2" s="1060"/>
      <c r="D2" s="1060"/>
      <c r="E2" s="1060"/>
      <c r="F2" s="1060"/>
      <c r="G2" s="1060"/>
      <c r="H2" s="1060"/>
    </row>
    <row r="3" spans="1:8" ht="52.8">
      <c r="A3" s="733" t="s">
        <v>2042</v>
      </c>
      <c r="B3" s="733" t="s">
        <v>1101</v>
      </c>
      <c r="C3" s="714" t="s">
        <v>2073</v>
      </c>
      <c r="D3" s="714" t="s">
        <v>2074</v>
      </c>
      <c r="E3" s="714" t="s">
        <v>2075</v>
      </c>
      <c r="F3" s="714" t="s">
        <v>2074</v>
      </c>
      <c r="G3" s="714" t="s">
        <v>2076</v>
      </c>
      <c r="H3" s="714" t="s">
        <v>2077</v>
      </c>
    </row>
    <row r="4" spans="1:8" ht="13.8">
      <c r="A4" s="734" t="s">
        <v>2078</v>
      </c>
      <c r="B4" s="734" t="s">
        <v>2079</v>
      </c>
      <c r="C4" s="735"/>
      <c r="D4" s="734" t="s">
        <v>2074</v>
      </c>
      <c r="E4" s="736">
        <v>1</v>
      </c>
      <c r="F4" s="737" t="s">
        <v>2074</v>
      </c>
      <c r="G4" s="737">
        <v>1000</v>
      </c>
      <c r="H4" s="738" t="str">
        <f>IF(ISBLANK(C4),"",C4*E4*G4)</f>
        <v/>
      </c>
    </row>
    <row r="5" spans="1:8" ht="13.8">
      <c r="A5" s="734" t="s">
        <v>1090</v>
      </c>
      <c r="B5" s="734" t="s">
        <v>2080</v>
      </c>
      <c r="C5" s="735"/>
      <c r="D5" s="734" t="s">
        <v>2074</v>
      </c>
      <c r="E5" s="736">
        <v>21</v>
      </c>
      <c r="F5" s="737" t="s">
        <v>2074</v>
      </c>
      <c r="G5" s="737">
        <v>1000</v>
      </c>
      <c r="H5" s="738" t="str">
        <f t="shared" ref="H5:H27" si="0">IF(ISBLANK(C5),"",C5*E5*G5)</f>
        <v/>
      </c>
    </row>
    <row r="6" spans="1:8" ht="13.8">
      <c r="A6" s="734" t="s">
        <v>2081</v>
      </c>
      <c r="B6" s="734" t="s">
        <v>2082</v>
      </c>
      <c r="C6" s="735"/>
      <c r="D6" s="734" t="s">
        <v>2074</v>
      </c>
      <c r="E6" s="736">
        <v>310</v>
      </c>
      <c r="F6" s="737" t="s">
        <v>2074</v>
      </c>
      <c r="G6" s="737">
        <v>1000</v>
      </c>
      <c r="H6" s="738" t="str">
        <f t="shared" si="0"/>
        <v/>
      </c>
    </row>
    <row r="7" spans="1:8" ht="13.8">
      <c r="A7" s="734" t="s">
        <v>1110</v>
      </c>
      <c r="B7" s="734" t="s">
        <v>2083</v>
      </c>
      <c r="C7" s="735"/>
      <c r="D7" s="734" t="s">
        <v>2074</v>
      </c>
      <c r="E7" s="736">
        <v>11700</v>
      </c>
      <c r="F7" s="737" t="s">
        <v>2074</v>
      </c>
      <c r="G7" s="737">
        <v>1000</v>
      </c>
      <c r="H7" s="738" t="str">
        <f>IF(ISBLANK(C7),"",C7*E7*G7)</f>
        <v/>
      </c>
    </row>
    <row r="8" spans="1:8" ht="13.8">
      <c r="A8" s="734" t="s">
        <v>1112</v>
      </c>
      <c r="B8" s="734" t="s">
        <v>2084</v>
      </c>
      <c r="C8" s="735"/>
      <c r="D8" s="734" t="s">
        <v>2074</v>
      </c>
      <c r="E8" s="736">
        <v>650</v>
      </c>
      <c r="F8" s="737" t="s">
        <v>2074</v>
      </c>
      <c r="G8" s="737">
        <v>1000</v>
      </c>
      <c r="H8" s="738" t="str">
        <f>IF(ISBLANK(C8),"",C8*E8*G8)</f>
        <v/>
      </c>
    </row>
    <row r="9" spans="1:8" ht="13.8">
      <c r="A9" s="734" t="s">
        <v>1115</v>
      </c>
      <c r="B9" s="734" t="s">
        <v>2085</v>
      </c>
      <c r="C9" s="735"/>
      <c r="D9" s="734" t="s">
        <v>2074</v>
      </c>
      <c r="E9" s="736">
        <v>150</v>
      </c>
      <c r="F9" s="737" t="s">
        <v>2074</v>
      </c>
      <c r="G9" s="737">
        <v>1000</v>
      </c>
      <c r="H9" s="738" t="str">
        <f>IF(ISBLANK(C9),"",C9*E9*G9)</f>
        <v/>
      </c>
    </row>
    <row r="10" spans="1:8" ht="13.8">
      <c r="A10" s="734" t="s">
        <v>1121</v>
      </c>
      <c r="B10" s="734" t="s">
        <v>2086</v>
      </c>
      <c r="C10" s="735"/>
      <c r="D10" s="734" t="s">
        <v>2074</v>
      </c>
      <c r="E10" s="736">
        <v>2800</v>
      </c>
      <c r="F10" s="737" t="s">
        <v>2074</v>
      </c>
      <c r="G10" s="737">
        <v>1000</v>
      </c>
      <c r="H10" s="738" t="str">
        <f t="shared" si="0"/>
        <v/>
      </c>
    </row>
    <row r="11" spans="1:8" ht="13.8">
      <c r="A11" s="734" t="s">
        <v>1124</v>
      </c>
      <c r="B11" s="734" t="s">
        <v>2087</v>
      </c>
      <c r="C11" s="735"/>
      <c r="D11" s="734" t="s">
        <v>2074</v>
      </c>
      <c r="E11" s="736">
        <v>1000</v>
      </c>
      <c r="F11" s="737" t="s">
        <v>2074</v>
      </c>
      <c r="G11" s="737">
        <v>1000</v>
      </c>
      <c r="H11" s="738" t="str">
        <f t="shared" si="0"/>
        <v/>
      </c>
    </row>
    <row r="12" spans="1:8" ht="13.8">
      <c r="A12" s="734" t="s">
        <v>1127</v>
      </c>
      <c r="B12" s="734" t="s">
        <v>2088</v>
      </c>
      <c r="C12" s="735"/>
      <c r="D12" s="734" t="s">
        <v>2074</v>
      </c>
      <c r="E12" s="736">
        <v>1300</v>
      </c>
      <c r="F12" s="737" t="s">
        <v>2074</v>
      </c>
      <c r="G12" s="737">
        <v>1000</v>
      </c>
      <c r="H12" s="738" t="str">
        <f t="shared" si="0"/>
        <v/>
      </c>
    </row>
    <row r="13" spans="1:8" ht="13.8">
      <c r="A13" s="734" t="s">
        <v>1133</v>
      </c>
      <c r="B13" s="734" t="s">
        <v>2089</v>
      </c>
      <c r="C13" s="735"/>
      <c r="D13" s="734" t="s">
        <v>2074</v>
      </c>
      <c r="E13" s="736">
        <v>300</v>
      </c>
      <c r="F13" s="737" t="s">
        <v>2074</v>
      </c>
      <c r="G13" s="737">
        <v>1000</v>
      </c>
      <c r="H13" s="738" t="str">
        <f t="shared" si="0"/>
        <v/>
      </c>
    </row>
    <row r="14" spans="1:8" ht="13.8">
      <c r="A14" s="734" t="s">
        <v>1136</v>
      </c>
      <c r="B14" s="734" t="s">
        <v>2090</v>
      </c>
      <c r="C14" s="735"/>
      <c r="D14" s="734" t="s">
        <v>2074</v>
      </c>
      <c r="E14" s="736">
        <v>3800</v>
      </c>
      <c r="F14" s="737" t="s">
        <v>2074</v>
      </c>
      <c r="G14" s="737">
        <v>1000</v>
      </c>
      <c r="H14" s="738" t="str">
        <f>IF(ISBLANK(C14),"",C14*E14*G14)</f>
        <v/>
      </c>
    </row>
    <row r="15" spans="1:8" ht="13.8">
      <c r="A15" s="734" t="s">
        <v>1130</v>
      </c>
      <c r="B15" s="734" t="s">
        <v>2091</v>
      </c>
      <c r="C15" s="735"/>
      <c r="D15" s="734" t="s">
        <v>2074</v>
      </c>
      <c r="E15" s="736">
        <v>140</v>
      </c>
      <c r="F15" s="737" t="s">
        <v>2074</v>
      </c>
      <c r="G15" s="737">
        <v>1000</v>
      </c>
      <c r="H15" s="738" t="str">
        <f t="shared" si="0"/>
        <v/>
      </c>
    </row>
    <row r="16" spans="1:8" ht="13.8">
      <c r="A16" s="734" t="s">
        <v>1138</v>
      </c>
      <c r="B16" s="734" t="s">
        <v>2092</v>
      </c>
      <c r="C16" s="735"/>
      <c r="D16" s="734" t="s">
        <v>2074</v>
      </c>
      <c r="E16" s="736">
        <v>2900</v>
      </c>
      <c r="F16" s="737" t="s">
        <v>2074</v>
      </c>
      <c r="G16" s="737">
        <v>1000</v>
      </c>
      <c r="H16" s="738" t="str">
        <f t="shared" si="0"/>
        <v/>
      </c>
    </row>
    <row r="17" spans="1:8" ht="13.8">
      <c r="A17" s="734" t="s">
        <v>1141</v>
      </c>
      <c r="B17" s="734" t="s">
        <v>2093</v>
      </c>
      <c r="C17" s="735"/>
      <c r="D17" s="734" t="s">
        <v>2074</v>
      </c>
      <c r="E17" s="736">
        <v>6300</v>
      </c>
      <c r="F17" s="737" t="s">
        <v>2074</v>
      </c>
      <c r="G17" s="737">
        <v>1000</v>
      </c>
      <c r="H17" s="738" t="str">
        <f t="shared" si="0"/>
        <v/>
      </c>
    </row>
    <row r="18" spans="1:8" ht="13.8">
      <c r="A18" s="734" t="s">
        <v>1214</v>
      </c>
      <c r="B18" s="734" t="s">
        <v>2094</v>
      </c>
      <c r="C18" s="735"/>
      <c r="D18" s="734" t="s">
        <v>2074</v>
      </c>
      <c r="E18" s="736">
        <v>560</v>
      </c>
      <c r="F18" s="737" t="s">
        <v>2074</v>
      </c>
      <c r="G18" s="737">
        <v>1000</v>
      </c>
      <c r="H18" s="738" t="str">
        <f t="shared" si="0"/>
        <v/>
      </c>
    </row>
    <row r="19" spans="1:8" ht="13.8">
      <c r="A19" s="734" t="s">
        <v>2095</v>
      </c>
      <c r="B19" s="734" t="s">
        <v>2096</v>
      </c>
      <c r="C19" s="735"/>
      <c r="D19" s="734" t="s">
        <v>2074</v>
      </c>
      <c r="E19" s="736">
        <v>1300</v>
      </c>
      <c r="F19" s="737" t="s">
        <v>2074</v>
      </c>
      <c r="G19" s="737">
        <v>1000</v>
      </c>
      <c r="H19" s="738" t="str">
        <f>IF(ISBLANK(C19),"",C19*E19*G19)</f>
        <v/>
      </c>
    </row>
    <row r="20" spans="1:8" ht="13.8">
      <c r="A20" s="734" t="s">
        <v>2097</v>
      </c>
      <c r="B20" s="734" t="s">
        <v>2098</v>
      </c>
      <c r="C20" s="735"/>
      <c r="D20" s="734" t="s">
        <v>2074</v>
      </c>
      <c r="E20" s="736">
        <v>6500</v>
      </c>
      <c r="F20" s="737" t="s">
        <v>2074</v>
      </c>
      <c r="G20" s="737">
        <v>1000</v>
      </c>
      <c r="H20" s="738" t="str">
        <f>IF(ISBLANK(C20),"",C20*E20*G20)</f>
        <v/>
      </c>
    </row>
    <row r="21" spans="1:8" ht="13.8">
      <c r="A21" s="734" t="s">
        <v>2099</v>
      </c>
      <c r="B21" s="734" t="s">
        <v>2100</v>
      </c>
      <c r="C21" s="735"/>
      <c r="D21" s="734" t="s">
        <v>2074</v>
      </c>
      <c r="E21" s="736">
        <v>9200</v>
      </c>
      <c r="F21" s="737" t="s">
        <v>2074</v>
      </c>
      <c r="G21" s="737">
        <v>1000</v>
      </c>
      <c r="H21" s="738" t="str">
        <f>IF(ISBLANK(C21),"",C21*E21*G21)</f>
        <v/>
      </c>
    </row>
    <row r="22" spans="1:8" ht="13.8">
      <c r="A22" s="734" t="s">
        <v>2101</v>
      </c>
      <c r="B22" s="734" t="s">
        <v>2102</v>
      </c>
      <c r="C22" s="735"/>
      <c r="D22" s="734" t="s">
        <v>2074</v>
      </c>
      <c r="E22" s="736">
        <v>7000</v>
      </c>
      <c r="F22" s="737" t="s">
        <v>2074</v>
      </c>
      <c r="G22" s="737">
        <v>1000</v>
      </c>
      <c r="H22" s="738" t="str">
        <f>IF(ISBLANK(C22),"",C22*E22*G22)</f>
        <v/>
      </c>
    </row>
    <row r="23" spans="1:8" ht="13.8">
      <c r="A23" s="734" t="s">
        <v>2103</v>
      </c>
      <c r="B23" s="734" t="s">
        <v>2104</v>
      </c>
      <c r="C23" s="735"/>
      <c r="D23" s="734" t="s">
        <v>2074</v>
      </c>
      <c r="E23" s="736">
        <v>8700</v>
      </c>
      <c r="F23" s="737" t="s">
        <v>2074</v>
      </c>
      <c r="G23" s="737">
        <v>1000</v>
      </c>
      <c r="H23" s="738" t="str">
        <f>IF(ISBLANK(C23),"",C23*E23*G23)</f>
        <v/>
      </c>
    </row>
    <row r="24" spans="1:8" ht="13.8">
      <c r="A24" s="734" t="s">
        <v>2105</v>
      </c>
      <c r="B24" s="734" t="s">
        <v>2106</v>
      </c>
      <c r="C24" s="735"/>
      <c r="D24" s="734" t="s">
        <v>2074</v>
      </c>
      <c r="E24" s="736">
        <v>7000</v>
      </c>
      <c r="F24" s="737" t="s">
        <v>2074</v>
      </c>
      <c r="G24" s="737">
        <v>1000</v>
      </c>
      <c r="H24" s="738" t="str">
        <f t="shared" si="0"/>
        <v/>
      </c>
    </row>
    <row r="25" spans="1:8" ht="13.8">
      <c r="A25" s="734" t="s">
        <v>2107</v>
      </c>
      <c r="B25" s="734" t="s">
        <v>2108</v>
      </c>
      <c r="C25" s="735"/>
      <c r="D25" s="734" t="s">
        <v>2074</v>
      </c>
      <c r="E25" s="736">
        <v>7500</v>
      </c>
      <c r="F25" s="737" t="s">
        <v>2074</v>
      </c>
      <c r="G25" s="737">
        <v>1000</v>
      </c>
      <c r="H25" s="738" t="str">
        <f t="shared" si="0"/>
        <v/>
      </c>
    </row>
    <row r="26" spans="1:8" ht="13.8">
      <c r="A26" s="734" t="s">
        <v>2109</v>
      </c>
      <c r="B26" s="734" t="s">
        <v>2110</v>
      </c>
      <c r="C26" s="735"/>
      <c r="D26" s="734" t="s">
        <v>2074</v>
      </c>
      <c r="E26" s="736">
        <v>7400</v>
      </c>
      <c r="F26" s="737" t="s">
        <v>2074</v>
      </c>
      <c r="G26" s="737">
        <v>1000</v>
      </c>
      <c r="H26" s="738" t="str">
        <f t="shared" si="0"/>
        <v/>
      </c>
    </row>
    <row r="27" spans="1:8" ht="13.8">
      <c r="A27" s="734" t="s">
        <v>1146</v>
      </c>
      <c r="B27" s="734" t="s">
        <v>2111</v>
      </c>
      <c r="C27" s="735"/>
      <c r="D27" s="734" t="s">
        <v>2074</v>
      </c>
      <c r="E27" s="736">
        <v>23900</v>
      </c>
      <c r="F27" s="737" t="s">
        <v>2074</v>
      </c>
      <c r="G27" s="737">
        <v>1000</v>
      </c>
      <c r="H27" s="738" t="str">
        <f t="shared" si="0"/>
        <v/>
      </c>
    </row>
    <row r="28" spans="1:8">
      <c r="A28" s="739" t="s">
        <v>2112</v>
      </c>
      <c r="B28" s="740"/>
      <c r="C28" s="741"/>
      <c r="D28" s="740"/>
      <c r="E28" s="742"/>
      <c r="F28" s="743"/>
      <c r="G28" s="743"/>
      <c r="H28" s="744"/>
    </row>
    <row r="29" spans="1:8">
      <c r="A29" s="734" t="s">
        <v>2113</v>
      </c>
      <c r="B29" s="734" t="s">
        <v>2114</v>
      </c>
      <c r="C29" s="735"/>
      <c r="D29" s="734" t="s">
        <v>2074</v>
      </c>
      <c r="E29" s="736">
        <f>44%*E10+4%*E12+52%*E14</f>
        <v>3260</v>
      </c>
      <c r="F29" s="737" t="s">
        <v>2074</v>
      </c>
      <c r="G29" s="737">
        <v>1000</v>
      </c>
      <c r="H29" s="738" t="str">
        <f t="shared" ref="H29:H34" si="1">IF(ISBLANK(C29),"",C29*E29*G29)</f>
        <v/>
      </c>
    </row>
    <row r="30" spans="1:8">
      <c r="A30" s="734" t="s">
        <v>2115</v>
      </c>
      <c r="B30" s="734" t="s">
        <v>2116</v>
      </c>
      <c r="C30" s="735"/>
      <c r="D30" s="734" t="s">
        <v>2074</v>
      </c>
      <c r="E30" s="736">
        <f>23%*E8+25%*E10+52%*E12</f>
        <v>1525.5</v>
      </c>
      <c r="F30" s="737" t="s">
        <v>2074</v>
      </c>
      <c r="G30" s="737">
        <v>1000</v>
      </c>
      <c r="H30" s="738" t="str">
        <f t="shared" si="1"/>
        <v/>
      </c>
    </row>
    <row r="31" spans="1:8">
      <c r="A31" s="734" t="s">
        <v>2117</v>
      </c>
      <c r="B31" s="734" t="s">
        <v>2118</v>
      </c>
      <c r="C31" s="735"/>
      <c r="D31" s="734" t="s">
        <v>2074</v>
      </c>
      <c r="E31" s="736">
        <f>47%*E56+7%*E10+46%*E14</f>
        <v>2794.7</v>
      </c>
      <c r="F31" s="737" t="s">
        <v>2074</v>
      </c>
      <c r="G31" s="737">
        <v>1000</v>
      </c>
      <c r="H31" s="738" t="str">
        <f t="shared" si="1"/>
        <v/>
      </c>
    </row>
    <row r="32" spans="1:8">
      <c r="A32" s="734" t="s">
        <v>2119</v>
      </c>
      <c r="B32" s="734" t="s">
        <v>2120</v>
      </c>
      <c r="C32" s="735"/>
      <c r="D32" s="734" t="s">
        <v>2074</v>
      </c>
      <c r="E32" s="736">
        <f>AVERAGE(E8,E10)</f>
        <v>1725</v>
      </c>
      <c r="F32" s="737" t="s">
        <v>2074</v>
      </c>
      <c r="G32" s="737">
        <v>1000</v>
      </c>
      <c r="H32" s="738" t="str">
        <f t="shared" si="1"/>
        <v/>
      </c>
    </row>
    <row r="33" spans="1:8">
      <c r="A33" s="734" t="s">
        <v>2121</v>
      </c>
      <c r="B33" s="734" t="s">
        <v>2122</v>
      </c>
      <c r="C33" s="735"/>
      <c r="D33" s="734" t="s">
        <v>2074</v>
      </c>
      <c r="E33" s="736">
        <f>AVERAGE(E10,E14)</f>
        <v>3300</v>
      </c>
      <c r="F33" s="737" t="s">
        <v>2074</v>
      </c>
      <c r="G33" s="737">
        <v>1000</v>
      </c>
      <c r="H33" s="738" t="str">
        <f t="shared" si="1"/>
        <v/>
      </c>
    </row>
    <row r="34" spans="1:8">
      <c r="A34" s="734" t="s">
        <v>2123</v>
      </c>
      <c r="B34" s="734" t="s">
        <v>2124</v>
      </c>
      <c r="C34" s="735"/>
      <c r="D34" s="734" t="s">
        <v>2074</v>
      </c>
      <c r="E34" s="736">
        <f>46%*E7+54%*E21</f>
        <v>10350</v>
      </c>
      <c r="F34" s="737" t="s">
        <v>2074</v>
      </c>
      <c r="G34" s="737">
        <v>1000</v>
      </c>
      <c r="H34" s="738" t="str">
        <f t="shared" si="1"/>
        <v/>
      </c>
    </row>
    <row r="35" spans="1:8">
      <c r="A35" s="745" t="s">
        <v>1974</v>
      </c>
      <c r="B35" s="745"/>
      <c r="C35" s="746"/>
      <c r="D35" s="746"/>
      <c r="E35" s="746"/>
      <c r="F35" s="746"/>
      <c r="G35" s="746"/>
      <c r="H35" s="747">
        <f>SUM(H4:H34)</f>
        <v>0</v>
      </c>
    </row>
    <row r="36" spans="1:8">
      <c r="A36" s="748"/>
      <c r="B36" s="748"/>
      <c r="C36" s="749"/>
      <c r="D36" s="749"/>
      <c r="E36" s="749"/>
      <c r="F36" s="749"/>
      <c r="G36" s="749"/>
      <c r="H36" s="750"/>
    </row>
    <row r="37" spans="1:8">
      <c r="A37" s="1061" t="s">
        <v>2125</v>
      </c>
      <c r="B37" s="1061"/>
      <c r="C37" s="1061"/>
      <c r="D37" s="1061"/>
      <c r="E37" s="1061"/>
      <c r="F37" s="1061"/>
      <c r="G37" s="1061"/>
      <c r="H37" s="1061"/>
    </row>
    <row r="38" spans="1:8">
      <c r="A38" s="1061"/>
      <c r="B38" s="1061"/>
      <c r="C38" s="1061"/>
      <c r="D38" s="1061"/>
      <c r="E38" s="1061"/>
      <c r="F38" s="1061"/>
      <c r="G38" s="1061"/>
      <c r="H38" s="1061"/>
    </row>
    <row r="39" spans="1:8">
      <c r="A39" s="368"/>
      <c r="B39" s="368"/>
      <c r="C39" s="368"/>
      <c r="D39" s="368"/>
      <c r="E39" s="368"/>
      <c r="F39" s="368"/>
      <c r="G39" s="368"/>
      <c r="H39" s="368"/>
    </row>
    <row r="40" spans="1:8">
      <c r="A40" s="368"/>
      <c r="B40" s="368"/>
      <c r="C40" s="368"/>
      <c r="D40" s="368"/>
      <c r="E40" s="368"/>
      <c r="F40" s="368"/>
      <c r="G40" s="368"/>
      <c r="H40" s="368"/>
    </row>
    <row r="41" spans="1:8">
      <c r="A41" s="1060" t="s">
        <v>2126</v>
      </c>
      <c r="B41" s="1060"/>
      <c r="C41" s="1060"/>
      <c r="D41" s="1060"/>
      <c r="E41" s="1060"/>
      <c r="F41" s="1060"/>
      <c r="G41" s="1060"/>
      <c r="H41" s="1060"/>
    </row>
    <row r="42" spans="1:8" ht="52.8">
      <c r="A42" s="733" t="s">
        <v>2042</v>
      </c>
      <c r="B42" s="733"/>
      <c r="C42" s="714" t="s">
        <v>2073</v>
      </c>
      <c r="D42" s="714" t="s">
        <v>2074</v>
      </c>
      <c r="E42" s="714" t="s">
        <v>2075</v>
      </c>
      <c r="F42" s="714" t="s">
        <v>2074</v>
      </c>
      <c r="G42" s="714" t="s">
        <v>2076</v>
      </c>
      <c r="H42" s="714" t="s">
        <v>2077</v>
      </c>
    </row>
    <row r="43" spans="1:8">
      <c r="A43" s="1058" t="s">
        <v>2127</v>
      </c>
      <c r="B43" s="1059"/>
      <c r="C43" s="751"/>
      <c r="D43" s="751"/>
      <c r="E43" s="751"/>
      <c r="F43" s="751"/>
      <c r="G43" s="751"/>
      <c r="H43" s="751"/>
    </row>
    <row r="44" spans="1:8" ht="13.8">
      <c r="A44" s="734" t="s">
        <v>2128</v>
      </c>
      <c r="B44" s="734" t="s">
        <v>2129</v>
      </c>
      <c r="C44" s="735"/>
      <c r="D44" s="734" t="s">
        <v>2074</v>
      </c>
      <c r="E44" s="736">
        <v>4750</v>
      </c>
      <c r="F44" s="737" t="s">
        <v>2074</v>
      </c>
      <c r="G44" s="737">
        <v>1000</v>
      </c>
      <c r="H44" s="738" t="str">
        <f t="shared" ref="H44:H60" si="2">IF(ISBLANK(C44),"",C44*E44*G44)</f>
        <v/>
      </c>
    </row>
    <row r="45" spans="1:8" ht="13.8">
      <c r="A45" s="734" t="s">
        <v>2130</v>
      </c>
      <c r="B45" s="734" t="s">
        <v>2131</v>
      </c>
      <c r="C45" s="735"/>
      <c r="D45" s="734" t="s">
        <v>2074</v>
      </c>
      <c r="E45" s="736">
        <v>10900</v>
      </c>
      <c r="F45" s="737" t="s">
        <v>2074</v>
      </c>
      <c r="G45" s="737">
        <v>1000</v>
      </c>
      <c r="H45" s="738" t="str">
        <f t="shared" si="2"/>
        <v/>
      </c>
    </row>
    <row r="46" spans="1:8" ht="13.8">
      <c r="A46" s="734" t="s">
        <v>1174</v>
      </c>
      <c r="B46" s="734" t="s">
        <v>2132</v>
      </c>
      <c r="C46" s="735"/>
      <c r="D46" s="734" t="s">
        <v>2074</v>
      </c>
      <c r="E46" s="736">
        <v>14400</v>
      </c>
      <c r="F46" s="737" t="s">
        <v>2074</v>
      </c>
      <c r="G46" s="737">
        <v>1000</v>
      </c>
      <c r="H46" s="738" t="str">
        <f t="shared" si="2"/>
        <v/>
      </c>
    </row>
    <row r="47" spans="1:8" ht="13.8">
      <c r="A47" s="734" t="s">
        <v>1176</v>
      </c>
      <c r="B47" s="734" t="s">
        <v>2133</v>
      </c>
      <c r="C47" s="735"/>
      <c r="D47" s="734" t="s">
        <v>2074</v>
      </c>
      <c r="E47" s="736">
        <v>6130</v>
      </c>
      <c r="F47" s="737" t="s">
        <v>2074</v>
      </c>
      <c r="G47" s="737">
        <v>1000</v>
      </c>
      <c r="H47" s="738" t="str">
        <f t="shared" si="2"/>
        <v/>
      </c>
    </row>
    <row r="48" spans="1:8" ht="13.8">
      <c r="A48" s="734" t="s">
        <v>1178</v>
      </c>
      <c r="B48" s="734" t="s">
        <v>2134</v>
      </c>
      <c r="C48" s="735"/>
      <c r="D48" s="734" t="s">
        <v>2074</v>
      </c>
      <c r="E48" s="736">
        <v>10000</v>
      </c>
      <c r="F48" s="737" t="s">
        <v>2074</v>
      </c>
      <c r="G48" s="737">
        <v>1000</v>
      </c>
      <c r="H48" s="738" t="str">
        <f t="shared" si="2"/>
        <v/>
      </c>
    </row>
    <row r="49" spans="1:8" ht="13.8">
      <c r="A49" s="734" t="s">
        <v>1180</v>
      </c>
      <c r="B49" s="734" t="s">
        <v>2135</v>
      </c>
      <c r="C49" s="735"/>
      <c r="D49" s="734" t="s">
        <v>2074</v>
      </c>
      <c r="E49" s="736">
        <v>7370</v>
      </c>
      <c r="F49" s="737" t="s">
        <v>2074</v>
      </c>
      <c r="G49" s="737">
        <v>1000</v>
      </c>
      <c r="H49" s="738" t="str">
        <f t="shared" si="2"/>
        <v/>
      </c>
    </row>
    <row r="50" spans="1:8" ht="13.8">
      <c r="A50" s="734" t="s">
        <v>1184</v>
      </c>
      <c r="B50" s="734" t="s">
        <v>2136</v>
      </c>
      <c r="C50" s="735"/>
      <c r="D50" s="734" t="s">
        <v>2074</v>
      </c>
      <c r="E50" s="736">
        <v>1890</v>
      </c>
      <c r="F50" s="737" t="s">
        <v>2074</v>
      </c>
      <c r="G50" s="737">
        <v>1000</v>
      </c>
      <c r="H50" s="738" t="str">
        <f t="shared" si="2"/>
        <v/>
      </c>
    </row>
    <row r="51" spans="1:8" ht="13.8">
      <c r="A51" s="734" t="s">
        <v>1182</v>
      </c>
      <c r="B51" s="734" t="s">
        <v>2137</v>
      </c>
      <c r="C51" s="735"/>
      <c r="D51" s="734" t="s">
        <v>2074</v>
      </c>
      <c r="E51" s="736">
        <v>7140</v>
      </c>
      <c r="F51" s="737" t="s">
        <v>2074</v>
      </c>
      <c r="G51" s="737">
        <v>1000</v>
      </c>
      <c r="H51" s="738" t="str">
        <f t="shared" si="2"/>
        <v/>
      </c>
    </row>
    <row r="52" spans="1:8" ht="13.8">
      <c r="A52" s="734" t="s">
        <v>1186</v>
      </c>
      <c r="B52" s="734" t="s">
        <v>2138</v>
      </c>
      <c r="C52" s="735"/>
      <c r="D52" s="734" t="s">
        <v>2074</v>
      </c>
      <c r="E52" s="736">
        <v>1640</v>
      </c>
      <c r="F52" s="737" t="s">
        <v>2074</v>
      </c>
      <c r="G52" s="737">
        <v>1000</v>
      </c>
      <c r="H52" s="738" t="str">
        <f t="shared" si="2"/>
        <v/>
      </c>
    </row>
    <row r="53" spans="1:8" ht="13.8">
      <c r="A53" s="734" t="s">
        <v>1188</v>
      </c>
      <c r="B53" s="734" t="s">
        <v>2139</v>
      </c>
      <c r="C53" s="735"/>
      <c r="D53" s="734" t="s">
        <v>2074</v>
      </c>
      <c r="E53" s="736">
        <v>1400</v>
      </c>
      <c r="F53" s="737" t="s">
        <v>2074</v>
      </c>
      <c r="G53" s="737">
        <v>1000</v>
      </c>
      <c r="H53" s="738" t="str">
        <f t="shared" si="2"/>
        <v/>
      </c>
    </row>
    <row r="54" spans="1:8" ht="13.8">
      <c r="A54" s="734" t="s">
        <v>1190</v>
      </c>
      <c r="B54" s="734" t="s">
        <v>2140</v>
      </c>
      <c r="C54" s="735"/>
      <c r="D54" s="734" t="s">
        <v>2074</v>
      </c>
      <c r="E54" s="736">
        <v>5</v>
      </c>
      <c r="F54" s="737" t="s">
        <v>2074</v>
      </c>
      <c r="G54" s="737">
        <v>1000</v>
      </c>
      <c r="H54" s="738" t="str">
        <f>IF(ISBLANK(C54),"",C54*E54*G54)</f>
        <v/>
      </c>
    </row>
    <row r="55" spans="1:8" ht="13.8">
      <c r="A55" s="734" t="s">
        <v>1192</v>
      </c>
      <c r="B55" s="734" t="s">
        <v>2141</v>
      </c>
      <c r="C55" s="735"/>
      <c r="D55" s="734" t="s">
        <v>2074</v>
      </c>
      <c r="E55" s="736">
        <v>146</v>
      </c>
      <c r="F55" s="737" t="s">
        <v>2074</v>
      </c>
      <c r="G55" s="737">
        <v>1000</v>
      </c>
      <c r="H55" s="738" t="str">
        <f t="shared" si="2"/>
        <v/>
      </c>
    </row>
    <row r="56" spans="1:8" ht="13.8">
      <c r="A56" s="734" t="s">
        <v>2142</v>
      </c>
      <c r="B56" s="734" t="s">
        <v>2143</v>
      </c>
      <c r="C56" s="735"/>
      <c r="D56" s="734" t="s">
        <v>2074</v>
      </c>
      <c r="E56" s="736">
        <v>1810</v>
      </c>
      <c r="F56" s="737" t="s">
        <v>2074</v>
      </c>
      <c r="G56" s="737">
        <v>1000</v>
      </c>
      <c r="H56" s="738" t="str">
        <f t="shared" si="2"/>
        <v/>
      </c>
    </row>
    <row r="57" spans="1:8" ht="13.8">
      <c r="A57" s="734" t="s">
        <v>1196</v>
      </c>
      <c r="B57" s="734" t="s">
        <v>2144</v>
      </c>
      <c r="C57" s="735"/>
      <c r="D57" s="734" t="s">
        <v>2074</v>
      </c>
      <c r="E57" s="736">
        <v>77</v>
      </c>
      <c r="F57" s="737" t="s">
        <v>2074</v>
      </c>
      <c r="G57" s="737">
        <v>1000</v>
      </c>
      <c r="H57" s="738" t="str">
        <f t="shared" si="2"/>
        <v/>
      </c>
    </row>
    <row r="58" spans="1:8" ht="13.8">
      <c r="A58" s="734" t="s">
        <v>1198</v>
      </c>
      <c r="B58" s="734" t="s">
        <v>2145</v>
      </c>
      <c r="C58" s="735"/>
      <c r="D58" s="734" t="s">
        <v>2074</v>
      </c>
      <c r="E58" s="736">
        <v>609</v>
      </c>
      <c r="F58" s="737" t="s">
        <v>2074</v>
      </c>
      <c r="G58" s="737">
        <v>1000</v>
      </c>
      <c r="H58" s="738" t="str">
        <f t="shared" si="2"/>
        <v/>
      </c>
    </row>
    <row r="59" spans="1:8" ht="13.8">
      <c r="A59" s="734" t="s">
        <v>1200</v>
      </c>
      <c r="B59" s="734" t="s">
        <v>2146</v>
      </c>
      <c r="C59" s="735"/>
      <c r="D59" s="734" t="s">
        <v>2074</v>
      </c>
      <c r="E59" s="736">
        <v>725</v>
      </c>
      <c r="F59" s="737" t="s">
        <v>2074</v>
      </c>
      <c r="G59" s="737">
        <v>1000</v>
      </c>
      <c r="H59" s="738" t="str">
        <f t="shared" si="2"/>
        <v/>
      </c>
    </row>
    <row r="60" spans="1:8" ht="13.8">
      <c r="A60" s="734" t="s">
        <v>1202</v>
      </c>
      <c r="B60" s="734" t="s">
        <v>2147</v>
      </c>
      <c r="C60" s="735"/>
      <c r="D60" s="734" t="s">
        <v>2074</v>
      </c>
      <c r="E60" s="736">
        <v>2310</v>
      </c>
      <c r="F60" s="737" t="s">
        <v>2074</v>
      </c>
      <c r="G60" s="737">
        <v>1000</v>
      </c>
      <c r="H60" s="738" t="str">
        <f t="shared" si="2"/>
        <v/>
      </c>
    </row>
    <row r="61" spans="1:8" ht="13.8">
      <c r="A61" s="734" t="s">
        <v>2148</v>
      </c>
      <c r="B61" s="734" t="s">
        <v>2149</v>
      </c>
      <c r="C61" s="735"/>
      <c r="D61" s="734" t="s">
        <v>2074</v>
      </c>
      <c r="E61" s="736">
        <v>122</v>
      </c>
      <c r="F61" s="737" t="s">
        <v>2074</v>
      </c>
      <c r="G61" s="737">
        <v>1000</v>
      </c>
      <c r="H61" s="738" t="str">
        <f>IF(ISBLANK(C61),"",C61*E61*G61)</f>
        <v/>
      </c>
    </row>
    <row r="62" spans="1:8" ht="13.8">
      <c r="A62" s="734" t="s">
        <v>2150</v>
      </c>
      <c r="B62" s="734" t="s">
        <v>2151</v>
      </c>
      <c r="C62" s="735"/>
      <c r="D62" s="734" t="s">
        <v>2074</v>
      </c>
      <c r="E62" s="736">
        <v>595</v>
      </c>
      <c r="F62" s="737" t="s">
        <v>2074</v>
      </c>
      <c r="G62" s="737">
        <v>1000</v>
      </c>
      <c r="H62" s="738" t="str">
        <f>IF(ISBLANK(C62),"",C62*E62*G62)</f>
        <v/>
      </c>
    </row>
    <row r="63" spans="1:8">
      <c r="A63" s="1058" t="s">
        <v>2152</v>
      </c>
      <c r="B63" s="1059"/>
      <c r="C63" s="751"/>
      <c r="D63" s="751"/>
      <c r="E63" s="751"/>
      <c r="F63" s="751"/>
      <c r="G63" s="751"/>
      <c r="H63" s="751"/>
    </row>
    <row r="64" spans="1:8" ht="13.8">
      <c r="A64" s="734" t="s">
        <v>2153</v>
      </c>
      <c r="B64" s="734" t="s">
        <v>2154</v>
      </c>
      <c r="C64" s="735"/>
      <c r="D64" s="734" t="s">
        <v>2074</v>
      </c>
      <c r="E64" s="736">
        <v>17200</v>
      </c>
      <c r="F64" s="737" t="s">
        <v>2074</v>
      </c>
      <c r="G64" s="737">
        <v>1000</v>
      </c>
      <c r="H64" s="738" t="str">
        <f>IF(ISBLANK(C64),"",C64*E64*G64)</f>
        <v/>
      </c>
    </row>
    <row r="65" spans="1:8" ht="13.8">
      <c r="A65" s="734" t="s">
        <v>2155</v>
      </c>
      <c r="B65" s="734" t="s">
        <v>2108</v>
      </c>
      <c r="C65" s="735"/>
      <c r="D65" s="734" t="s">
        <v>2074</v>
      </c>
      <c r="E65" s="736">
        <v>9160</v>
      </c>
      <c r="F65" s="737" t="s">
        <v>2074</v>
      </c>
      <c r="G65" s="737">
        <v>1000</v>
      </c>
      <c r="H65" s="738" t="str">
        <f t="shared" ref="H65:H86" si="3">IF(ISBLANK(C65),"",C65*E65*G65)</f>
        <v/>
      </c>
    </row>
    <row r="66" spans="1:8" ht="13.8">
      <c r="A66" s="734" t="s">
        <v>2156</v>
      </c>
      <c r="B66" s="734" t="s">
        <v>2157</v>
      </c>
      <c r="C66" s="735"/>
      <c r="D66" s="734" t="s">
        <v>2074</v>
      </c>
      <c r="E66" s="736">
        <v>7500</v>
      </c>
      <c r="F66" s="737" t="s">
        <v>2074</v>
      </c>
      <c r="G66" s="737">
        <v>1000</v>
      </c>
      <c r="H66" s="738" t="str">
        <f t="shared" si="3"/>
        <v/>
      </c>
    </row>
    <row r="67" spans="1:8" ht="13.8">
      <c r="A67" s="734" t="s">
        <v>2158</v>
      </c>
      <c r="B67" s="734" t="s">
        <v>2159</v>
      </c>
      <c r="C67" s="735"/>
      <c r="D67" s="734" t="s">
        <v>2074</v>
      </c>
      <c r="E67" s="736">
        <v>17700</v>
      </c>
      <c r="F67" s="737" t="s">
        <v>2074</v>
      </c>
      <c r="G67" s="737">
        <v>1000</v>
      </c>
      <c r="H67" s="738" t="str">
        <f t="shared" si="3"/>
        <v/>
      </c>
    </row>
    <row r="68" spans="1:8">
      <c r="A68" s="1058" t="s">
        <v>2160</v>
      </c>
      <c r="B68" s="1059"/>
      <c r="C68" s="751"/>
      <c r="D68" s="751"/>
      <c r="E68" s="751"/>
      <c r="F68" s="751"/>
      <c r="G68" s="751"/>
      <c r="H68" s="751"/>
    </row>
    <row r="69" spans="1:8" ht="13.8">
      <c r="A69" s="734" t="s">
        <v>1231</v>
      </c>
      <c r="B69" s="734" t="s">
        <v>2161</v>
      </c>
      <c r="C69" s="735"/>
      <c r="D69" s="734" t="s">
        <v>2074</v>
      </c>
      <c r="E69" s="736">
        <v>14900</v>
      </c>
      <c r="F69" s="737" t="s">
        <v>2074</v>
      </c>
      <c r="G69" s="737">
        <v>1000</v>
      </c>
      <c r="H69" s="738" t="str">
        <f t="shared" si="3"/>
        <v/>
      </c>
    </row>
    <row r="70" spans="1:8" ht="13.8">
      <c r="A70" s="734" t="s">
        <v>1233</v>
      </c>
      <c r="B70" s="734" t="s">
        <v>2162</v>
      </c>
      <c r="C70" s="735"/>
      <c r="D70" s="734" t="s">
        <v>2074</v>
      </c>
      <c r="E70" s="736">
        <v>6320</v>
      </c>
      <c r="F70" s="737" t="s">
        <v>2074</v>
      </c>
      <c r="G70" s="737">
        <v>1000</v>
      </c>
      <c r="H70" s="738" t="str">
        <f t="shared" si="3"/>
        <v/>
      </c>
    </row>
    <row r="71" spans="1:8" ht="13.8">
      <c r="A71" s="734" t="s">
        <v>1235</v>
      </c>
      <c r="B71" s="734" t="s">
        <v>2163</v>
      </c>
      <c r="C71" s="735"/>
      <c r="D71" s="734" t="s">
        <v>2074</v>
      </c>
      <c r="E71" s="736">
        <v>756</v>
      </c>
      <c r="F71" s="737" t="s">
        <v>2074</v>
      </c>
      <c r="G71" s="737">
        <v>1000</v>
      </c>
      <c r="H71" s="738" t="str">
        <f t="shared" si="3"/>
        <v/>
      </c>
    </row>
    <row r="72" spans="1:8" ht="13.8">
      <c r="A72" s="734" t="s">
        <v>2164</v>
      </c>
      <c r="B72" s="734" t="s">
        <v>2165</v>
      </c>
      <c r="C72" s="735"/>
      <c r="D72" s="734" t="s">
        <v>2074</v>
      </c>
      <c r="E72" s="736">
        <v>350</v>
      </c>
      <c r="F72" s="737" t="s">
        <v>2074</v>
      </c>
      <c r="G72" s="737">
        <v>1000</v>
      </c>
      <c r="H72" s="738" t="str">
        <f t="shared" si="3"/>
        <v/>
      </c>
    </row>
    <row r="73" spans="1:8" ht="13.8">
      <c r="A73" s="734" t="s">
        <v>1239</v>
      </c>
      <c r="B73" s="734" t="s">
        <v>2166</v>
      </c>
      <c r="C73" s="735"/>
      <c r="D73" s="734" t="s">
        <v>2074</v>
      </c>
      <c r="E73" s="736">
        <v>708</v>
      </c>
      <c r="F73" s="737" t="s">
        <v>2074</v>
      </c>
      <c r="G73" s="737">
        <v>1000</v>
      </c>
      <c r="H73" s="738" t="str">
        <f t="shared" si="3"/>
        <v/>
      </c>
    </row>
    <row r="74" spans="1:8" ht="13.8">
      <c r="A74" s="734" t="s">
        <v>1241</v>
      </c>
      <c r="B74" s="734" t="s">
        <v>2167</v>
      </c>
      <c r="C74" s="735"/>
      <c r="D74" s="734" t="s">
        <v>2074</v>
      </c>
      <c r="E74" s="736">
        <v>659</v>
      </c>
      <c r="F74" s="737" t="s">
        <v>2074</v>
      </c>
      <c r="G74" s="737">
        <v>1000</v>
      </c>
      <c r="H74" s="738" t="str">
        <f t="shared" si="3"/>
        <v/>
      </c>
    </row>
    <row r="75" spans="1:8" ht="13.8">
      <c r="A75" s="734" t="s">
        <v>1243</v>
      </c>
      <c r="B75" s="734" t="s">
        <v>2166</v>
      </c>
      <c r="C75" s="735"/>
      <c r="D75" s="734" t="s">
        <v>2074</v>
      </c>
      <c r="E75" s="736">
        <v>359</v>
      </c>
      <c r="F75" s="737" t="s">
        <v>2074</v>
      </c>
      <c r="G75" s="737">
        <v>1000</v>
      </c>
      <c r="H75" s="738" t="str">
        <f t="shared" si="3"/>
        <v/>
      </c>
    </row>
    <row r="76" spans="1:8" ht="13.8">
      <c r="A76" s="734" t="s">
        <v>1244</v>
      </c>
      <c r="B76" s="734" t="s">
        <v>2168</v>
      </c>
      <c r="C76" s="735"/>
      <c r="D76" s="734" t="s">
        <v>2074</v>
      </c>
      <c r="E76" s="736">
        <v>575</v>
      </c>
      <c r="F76" s="737" t="s">
        <v>2074</v>
      </c>
      <c r="G76" s="737">
        <v>1000</v>
      </c>
      <c r="H76" s="738" t="str">
        <f t="shared" si="3"/>
        <v/>
      </c>
    </row>
    <row r="77" spans="1:8" ht="13.8">
      <c r="A77" s="734" t="s">
        <v>1246</v>
      </c>
      <c r="B77" s="734" t="s">
        <v>2169</v>
      </c>
      <c r="C77" s="735"/>
      <c r="D77" s="734" t="s">
        <v>2074</v>
      </c>
      <c r="E77" s="736">
        <v>580</v>
      </c>
      <c r="F77" s="737" t="s">
        <v>2074</v>
      </c>
      <c r="G77" s="737">
        <v>1000</v>
      </c>
      <c r="H77" s="738" t="str">
        <f t="shared" si="3"/>
        <v/>
      </c>
    </row>
    <row r="78" spans="1:8" ht="13.8">
      <c r="A78" s="734" t="s">
        <v>1248</v>
      </c>
      <c r="B78" s="734" t="s">
        <v>2170</v>
      </c>
      <c r="C78" s="735"/>
      <c r="D78" s="734" t="s">
        <v>2074</v>
      </c>
      <c r="E78" s="736">
        <v>110</v>
      </c>
      <c r="F78" s="737" t="s">
        <v>2074</v>
      </c>
      <c r="G78" s="737">
        <v>1000</v>
      </c>
      <c r="H78" s="738" t="str">
        <f t="shared" si="3"/>
        <v/>
      </c>
    </row>
    <row r="79" spans="1:8" ht="13.8">
      <c r="A79" s="734" t="s">
        <v>2171</v>
      </c>
      <c r="B79" s="734" t="s">
        <v>2172</v>
      </c>
      <c r="C79" s="735"/>
      <c r="D79" s="734" t="s">
        <v>2074</v>
      </c>
      <c r="E79" s="736">
        <v>297</v>
      </c>
      <c r="F79" s="737" t="s">
        <v>2074</v>
      </c>
      <c r="G79" s="737">
        <v>1000</v>
      </c>
      <c r="H79" s="738" t="str">
        <f t="shared" si="3"/>
        <v/>
      </c>
    </row>
    <row r="80" spans="1:8" ht="13.8">
      <c r="A80" s="734" t="s">
        <v>2173</v>
      </c>
      <c r="B80" s="734" t="s">
        <v>2174</v>
      </c>
      <c r="C80" s="735"/>
      <c r="D80" s="734" t="s">
        <v>2074</v>
      </c>
      <c r="E80" s="736">
        <v>59</v>
      </c>
      <c r="F80" s="737" t="s">
        <v>2074</v>
      </c>
      <c r="G80" s="737">
        <v>1000</v>
      </c>
      <c r="H80" s="738" t="str">
        <f t="shared" si="3"/>
        <v/>
      </c>
    </row>
    <row r="81" spans="1:8" ht="13.8">
      <c r="A81" s="734" t="s">
        <v>2175</v>
      </c>
      <c r="B81" s="734" t="s">
        <v>2176</v>
      </c>
      <c r="C81" s="735"/>
      <c r="D81" s="734" t="s">
        <v>2074</v>
      </c>
      <c r="E81" s="736">
        <v>1870</v>
      </c>
      <c r="F81" s="737" t="s">
        <v>2074</v>
      </c>
      <c r="G81" s="737">
        <v>1000</v>
      </c>
      <c r="H81" s="738" t="str">
        <f t="shared" si="3"/>
        <v/>
      </c>
    </row>
    <row r="82" spans="1:8" ht="13.8">
      <c r="A82" s="734" t="s">
        <v>1256</v>
      </c>
      <c r="B82" s="734" t="s">
        <v>2177</v>
      </c>
      <c r="C82" s="735"/>
      <c r="D82" s="734" t="s">
        <v>2074</v>
      </c>
      <c r="E82" s="736">
        <v>2800</v>
      </c>
      <c r="F82" s="737" t="s">
        <v>2074</v>
      </c>
      <c r="G82" s="737">
        <v>1000</v>
      </c>
      <c r="H82" s="738" t="str">
        <f t="shared" si="3"/>
        <v/>
      </c>
    </row>
    <row r="83" spans="1:8" ht="13.8">
      <c r="A83" s="734" t="s">
        <v>1258</v>
      </c>
      <c r="B83" s="734" t="s">
        <v>2178</v>
      </c>
      <c r="C83" s="735"/>
      <c r="D83" s="734" t="s">
        <v>2074</v>
      </c>
      <c r="E83" s="736">
        <v>1500</v>
      </c>
      <c r="F83" s="737" t="s">
        <v>2074</v>
      </c>
      <c r="G83" s="737">
        <v>1000</v>
      </c>
      <c r="H83" s="738" t="str">
        <f t="shared" si="3"/>
        <v/>
      </c>
    </row>
    <row r="84" spans="1:8">
      <c r="A84" s="1058" t="s">
        <v>2179</v>
      </c>
      <c r="B84" s="1059"/>
      <c r="C84" s="751"/>
      <c r="D84" s="751"/>
      <c r="E84" s="751"/>
      <c r="F84" s="751"/>
      <c r="G84" s="751"/>
      <c r="H84" s="751"/>
    </row>
    <row r="85" spans="1:8" ht="13.8">
      <c r="A85" s="734" t="s">
        <v>2180</v>
      </c>
      <c r="B85" s="734" t="s">
        <v>2181</v>
      </c>
      <c r="C85" s="735"/>
      <c r="D85" s="734" t="s">
        <v>2074</v>
      </c>
      <c r="E85" s="736">
        <v>10300</v>
      </c>
      <c r="F85" s="737" t="s">
        <v>2074</v>
      </c>
      <c r="G85" s="737">
        <v>1000</v>
      </c>
      <c r="H85" s="738" t="str">
        <f t="shared" si="3"/>
        <v/>
      </c>
    </row>
    <row r="86" spans="1:8" ht="13.8">
      <c r="A86" s="734" t="s">
        <v>2182</v>
      </c>
      <c r="B86" s="734" t="s">
        <v>2183</v>
      </c>
      <c r="C86" s="735"/>
      <c r="D86" s="734" t="s">
        <v>2074</v>
      </c>
      <c r="E86" s="736">
        <v>1</v>
      </c>
      <c r="F86" s="737" t="s">
        <v>2074</v>
      </c>
      <c r="G86" s="737">
        <v>1000</v>
      </c>
      <c r="H86" s="738" t="str">
        <f t="shared" si="3"/>
        <v/>
      </c>
    </row>
    <row r="87" spans="1:8" ht="13.8">
      <c r="A87" s="734" t="s">
        <v>2184</v>
      </c>
      <c r="B87" s="734" t="s">
        <v>2185</v>
      </c>
      <c r="C87" s="735"/>
      <c r="D87" s="734" t="s">
        <v>2074</v>
      </c>
      <c r="E87" s="752">
        <v>8.6999999999999993</v>
      </c>
      <c r="F87" s="737" t="s">
        <v>2074</v>
      </c>
      <c r="G87" s="737">
        <v>1000</v>
      </c>
      <c r="H87" s="738" t="str">
        <f>IF(ISBLANK(C87),"",C87*E87*G87)</f>
        <v/>
      </c>
    </row>
    <row r="88" spans="1:8" ht="13.8">
      <c r="A88" s="734" t="s">
        <v>2186</v>
      </c>
      <c r="B88" s="734" t="s">
        <v>2187</v>
      </c>
      <c r="C88" s="735"/>
      <c r="D88" s="734" t="s">
        <v>2074</v>
      </c>
      <c r="E88" s="736">
        <v>13</v>
      </c>
      <c r="F88" s="737" t="s">
        <v>2074</v>
      </c>
      <c r="G88" s="737">
        <v>1000</v>
      </c>
      <c r="H88" s="738" t="str">
        <f>IF(ISBLANK(C88),"",C88*E88*G88)</f>
        <v/>
      </c>
    </row>
    <row r="89" spans="1:8" ht="13.8">
      <c r="A89" s="734" t="s">
        <v>2188</v>
      </c>
      <c r="B89" s="734" t="s">
        <v>2189</v>
      </c>
      <c r="C89" s="735"/>
      <c r="D89" s="734" t="s">
        <v>2074</v>
      </c>
      <c r="E89" s="752">
        <v>3.3</v>
      </c>
      <c r="F89" s="737" t="s">
        <v>2074</v>
      </c>
      <c r="G89" s="737">
        <v>1000</v>
      </c>
      <c r="H89" s="738" t="str">
        <f>IF(ISBLANK(C89),"",C89*E89*G89)</f>
        <v/>
      </c>
    </row>
    <row r="90" spans="1:8" ht="13.8">
      <c r="A90" s="734" t="s">
        <v>2190</v>
      </c>
      <c r="B90" s="734" t="s">
        <v>2191</v>
      </c>
      <c r="C90" s="735"/>
      <c r="D90" s="734" t="s">
        <v>2074</v>
      </c>
      <c r="E90" s="753">
        <v>1E-3</v>
      </c>
      <c r="F90" s="737" t="s">
        <v>2074</v>
      </c>
      <c r="G90" s="737">
        <v>1000</v>
      </c>
      <c r="H90" s="738" t="str">
        <f>IF(ISBLANK(C90),"",C90*E90*G90)</f>
        <v/>
      </c>
    </row>
    <row r="91" spans="1:8">
      <c r="A91" s="1058" t="s">
        <v>2112</v>
      </c>
      <c r="B91" s="1059"/>
      <c r="C91" s="741"/>
      <c r="D91" s="740"/>
      <c r="E91" s="742"/>
      <c r="F91" s="743"/>
      <c r="G91" s="743"/>
      <c r="H91" s="744"/>
    </row>
    <row r="92" spans="1:8">
      <c r="A92" s="734" t="s">
        <v>2192</v>
      </c>
      <c r="B92" s="734" t="s">
        <v>2193</v>
      </c>
      <c r="C92" s="735"/>
      <c r="D92" s="734" t="s">
        <v>2074</v>
      </c>
      <c r="E92" s="736">
        <f>55%*E56+41%*E60+4%*E90</f>
        <v>1942.6000399999998</v>
      </c>
      <c r="F92" s="737" t="s">
        <v>2074</v>
      </c>
      <c r="G92" s="737">
        <v>1000</v>
      </c>
      <c r="H92" s="738" t="str">
        <f>IF(ISBLANK(C92),"",C92*E92*G92)</f>
        <v/>
      </c>
    </row>
    <row r="93" spans="1:8">
      <c r="A93" s="734" t="s">
        <v>2194</v>
      </c>
      <c r="B93" s="734" t="s">
        <v>2195</v>
      </c>
      <c r="C93" s="735"/>
      <c r="D93" s="734" t="s">
        <v>2074</v>
      </c>
      <c r="E93" s="736">
        <f>60%*E56+25%*E58+15%*E60</f>
        <v>1584.75</v>
      </c>
      <c r="F93" s="737" t="s">
        <v>2074</v>
      </c>
      <c r="G93" s="737">
        <v>1000</v>
      </c>
      <c r="H93" s="738" t="str">
        <f>IF(ISBLANK(C93),"",C93*E93*G93)</f>
        <v/>
      </c>
    </row>
    <row r="94" spans="1:8">
      <c r="A94" s="734" t="s">
        <v>2196</v>
      </c>
      <c r="B94" s="734" t="s">
        <v>2197</v>
      </c>
      <c r="C94" s="735"/>
      <c r="D94" s="734" t="s">
        <v>2074</v>
      </c>
      <c r="E94" s="736">
        <f>48.8%*E56+51.2%*E49</f>
        <v>4656.72</v>
      </c>
      <c r="F94" s="737" t="s">
        <v>2074</v>
      </c>
      <c r="G94" s="737">
        <v>1000</v>
      </c>
      <c r="H94" s="738" t="str">
        <f>IF(ISBLANK(C94),"",C94*E94*G94)</f>
        <v/>
      </c>
    </row>
    <row r="95" spans="1:8">
      <c r="A95" s="745" t="s">
        <v>1974</v>
      </c>
      <c r="B95" s="745"/>
      <c r="C95" s="746"/>
      <c r="D95" s="746"/>
      <c r="E95" s="746"/>
      <c r="F95" s="746"/>
      <c r="G95" s="746"/>
      <c r="H95" s="747">
        <f>SUM(H44:H94)</f>
        <v>0</v>
      </c>
    </row>
    <row r="96" spans="1:8">
      <c r="A96" s="754"/>
      <c r="B96" s="754"/>
      <c r="C96" s="754"/>
      <c r="D96" s="754"/>
      <c r="E96" s="755"/>
      <c r="F96" s="755"/>
      <c r="G96" s="755"/>
      <c r="H96" s="754"/>
    </row>
  </sheetData>
  <mergeCells count="8">
    <mergeCell ref="A84:B84"/>
    <mergeCell ref="A91:B91"/>
    <mergeCell ref="A2:H2"/>
    <mergeCell ref="A37:H38"/>
    <mergeCell ref="A41:H41"/>
    <mergeCell ref="A43:B43"/>
    <mergeCell ref="A63:B63"/>
    <mergeCell ref="A68:B68"/>
  </mergeCells>
  <hyperlinks>
    <hyperlink ref="A1" location="'About og Fane-Link'!A1" display="Til Forsiden"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68"/>
  <sheetViews>
    <sheetView topLeftCell="A13" workbookViewId="0"/>
  </sheetViews>
  <sheetFormatPr defaultColWidth="9.109375" defaultRowHeight="13.2"/>
  <cols>
    <col min="1" max="1" width="12.33203125" style="368" customWidth="1"/>
    <col min="2" max="2" width="23.44140625" style="368" bestFit="1" customWidth="1"/>
    <col min="3" max="8" width="12.6640625" style="368" customWidth="1"/>
    <col min="9" max="10" width="2.6640625" style="368" customWidth="1"/>
    <col min="11" max="16384" width="9.109375" style="368"/>
  </cols>
  <sheetData>
    <row r="1" spans="1:7">
      <c r="A1" s="44" t="s">
        <v>2527</v>
      </c>
      <c r="C1" s="885" t="s">
        <v>2528</v>
      </c>
      <c r="E1" s="757"/>
    </row>
    <row r="2" spans="1:7">
      <c r="A2" s="758" t="s">
        <v>2198</v>
      </c>
      <c r="B2" s="759">
        <v>39981</v>
      </c>
      <c r="E2" s="757"/>
    </row>
    <row r="3" spans="1:7" s="754" customFormat="1" ht="7.8">
      <c r="E3" s="755"/>
    </row>
    <row r="4" spans="1:7" s="754" customFormat="1" ht="7.8">
      <c r="E4" s="755"/>
    </row>
    <row r="5" spans="1:7" s="754" customFormat="1">
      <c r="B5" s="760" t="s">
        <v>2199</v>
      </c>
      <c r="C5" s="760"/>
      <c r="D5" s="729"/>
      <c r="E5" s="761"/>
      <c r="F5" s="729"/>
      <c r="G5" s="729"/>
    </row>
    <row r="6" spans="1:7" s="754" customFormat="1">
      <c r="B6" s="729"/>
      <c r="C6" s="729"/>
      <c r="D6" s="729"/>
      <c r="E6" s="761"/>
      <c r="F6" s="729"/>
      <c r="G6" s="729"/>
    </row>
    <row r="7" spans="1:7" s="754" customFormat="1">
      <c r="B7" s="1063" t="s">
        <v>2200</v>
      </c>
      <c r="C7" s="1063"/>
      <c r="D7" s="1063"/>
      <c r="E7" s="1063"/>
      <c r="F7" s="1063"/>
      <c r="G7" s="1063"/>
    </row>
    <row r="8" spans="1:7" s="754" customFormat="1">
      <c r="B8" s="1063"/>
      <c r="C8" s="1063"/>
      <c r="D8" s="1063"/>
      <c r="E8" s="1063"/>
      <c r="F8" s="1063"/>
      <c r="G8" s="1063"/>
    </row>
    <row r="9" spans="1:7" s="754" customFormat="1">
      <c r="B9" s="1063" t="s">
        <v>2201</v>
      </c>
      <c r="C9" s="1063"/>
      <c r="D9" s="1063"/>
      <c r="E9" s="1063"/>
      <c r="F9" s="1063"/>
      <c r="G9" s="1063"/>
    </row>
    <row r="10" spans="1:7" s="754" customFormat="1">
      <c r="A10" s="729"/>
      <c r="B10" s="729"/>
      <c r="C10" s="729"/>
      <c r="D10" s="729"/>
      <c r="E10" s="761"/>
      <c r="F10" s="729"/>
      <c r="G10" s="729"/>
    </row>
    <row r="11" spans="1:7" s="754" customFormat="1">
      <c r="A11" s="729"/>
      <c r="B11" s="1063" t="s">
        <v>2202</v>
      </c>
      <c r="C11" s="1063"/>
      <c r="D11" s="1063"/>
      <c r="E11" s="1063"/>
      <c r="F11" s="1063"/>
      <c r="G11" s="1063"/>
    </row>
    <row r="12" spans="1:7" s="754" customFormat="1">
      <c r="A12" s="729"/>
      <c r="B12" s="729"/>
      <c r="C12" s="729"/>
      <c r="D12" s="729"/>
      <c r="E12" s="761"/>
      <c r="F12" s="729"/>
      <c r="G12" s="729"/>
    </row>
    <row r="13" spans="1:7" s="754" customFormat="1">
      <c r="A13" s="729"/>
      <c r="B13" s="1063" t="s">
        <v>2203</v>
      </c>
      <c r="C13" s="1063"/>
      <c r="D13" s="1063"/>
      <c r="E13" s="1063"/>
      <c r="F13" s="1063"/>
      <c r="G13" s="1063"/>
    </row>
    <row r="14" spans="1:7" s="754" customFormat="1">
      <c r="A14" s="729"/>
      <c r="B14" s="729"/>
      <c r="C14" s="729"/>
      <c r="D14" s="729"/>
      <c r="E14" s="761"/>
      <c r="F14" s="729"/>
      <c r="G14" s="729"/>
    </row>
    <row r="15" spans="1:7" s="754" customFormat="1">
      <c r="A15" s="729"/>
      <c r="B15" s="1063" t="s">
        <v>2204</v>
      </c>
      <c r="C15" s="1063"/>
      <c r="D15" s="1063"/>
      <c r="E15" s="1063"/>
      <c r="F15" s="1063"/>
      <c r="G15" s="1063"/>
    </row>
    <row r="16" spans="1:7" s="754" customFormat="1">
      <c r="A16" s="729"/>
      <c r="B16" s="762"/>
      <c r="C16" s="762"/>
      <c r="D16" s="762"/>
      <c r="E16" s="762"/>
      <c r="F16" s="762"/>
      <c r="G16" s="762"/>
    </row>
    <row r="17" spans="1:8" s="754" customFormat="1" ht="12" customHeight="1">
      <c r="A17" s="729"/>
      <c r="B17" s="1062" t="s">
        <v>2205</v>
      </c>
      <c r="C17" s="1062"/>
      <c r="D17" s="1062"/>
      <c r="E17" s="1062"/>
      <c r="F17" s="1062"/>
      <c r="G17" s="1062"/>
    </row>
    <row r="18" spans="1:8" s="754" customFormat="1" ht="18" customHeight="1">
      <c r="A18" s="729"/>
      <c r="B18" s="1062"/>
      <c r="C18" s="1062"/>
      <c r="D18" s="1062"/>
      <c r="E18" s="1062"/>
      <c r="F18" s="1062"/>
      <c r="G18" s="1062"/>
    </row>
    <row r="19" spans="1:8" s="754" customFormat="1" ht="11.25" customHeight="1">
      <c r="A19" s="729"/>
      <c r="B19" s="763"/>
      <c r="C19" s="763"/>
      <c r="D19" s="763"/>
      <c r="E19" s="763"/>
      <c r="F19" s="763"/>
      <c r="G19" s="763"/>
    </row>
    <row r="20" spans="1:8">
      <c r="A20" s="729"/>
      <c r="B20" s="729" t="s">
        <v>2206</v>
      </c>
      <c r="C20" s="757"/>
      <c r="D20" s="757"/>
      <c r="E20" s="757"/>
      <c r="F20" s="757"/>
      <c r="G20" s="757"/>
    </row>
    <row r="21" spans="1:8" ht="15.6">
      <c r="A21" s="729"/>
      <c r="B21" s="368" t="s">
        <v>2207</v>
      </c>
      <c r="C21" s="757"/>
      <c r="D21" s="757"/>
      <c r="E21" s="757"/>
      <c r="F21" s="757"/>
      <c r="G21" s="757"/>
    </row>
    <row r="22" spans="1:8" ht="15.6">
      <c r="A22" s="729"/>
      <c r="B22" s="368" t="s">
        <v>2208</v>
      </c>
      <c r="C22" s="757"/>
      <c r="D22" s="757"/>
      <c r="E22" s="757"/>
      <c r="F22" s="757"/>
      <c r="G22" s="757"/>
    </row>
    <row r="23" spans="1:8" ht="15.6">
      <c r="A23" s="729"/>
      <c r="B23" s="368" t="s">
        <v>2209</v>
      </c>
      <c r="C23" s="757"/>
      <c r="D23" s="757"/>
      <c r="E23" s="757"/>
      <c r="F23" s="757"/>
      <c r="G23" s="757"/>
    </row>
    <row r="24" spans="1:8" ht="15.6">
      <c r="A24" s="729"/>
      <c r="B24" s="368" t="s">
        <v>2210</v>
      </c>
      <c r="C24" s="757"/>
      <c r="D24" s="757"/>
      <c r="E24" s="757"/>
      <c r="F24" s="757"/>
      <c r="G24" s="757"/>
    </row>
    <row r="25" spans="1:8" ht="15.6">
      <c r="A25" s="729"/>
      <c r="B25" s="368" t="s">
        <v>2211</v>
      </c>
      <c r="C25" s="757"/>
      <c r="D25" s="757"/>
      <c r="E25" s="757"/>
      <c r="F25" s="757"/>
      <c r="G25" s="757"/>
    </row>
    <row r="26" spans="1:8">
      <c r="A26" s="729"/>
      <c r="B26" s="729"/>
      <c r="C26" s="757"/>
      <c r="D26" s="757"/>
      <c r="E26" s="757"/>
      <c r="F26" s="757"/>
      <c r="G26" s="757"/>
    </row>
    <row r="27" spans="1:8">
      <c r="A27" s="764" t="s">
        <v>2212</v>
      </c>
      <c r="B27" s="765" t="s">
        <v>2213</v>
      </c>
      <c r="C27" s="757"/>
      <c r="D27" s="757"/>
      <c r="E27" s="757"/>
      <c r="F27" s="757"/>
      <c r="G27" s="757"/>
    </row>
    <row r="28" spans="1:8">
      <c r="A28" s="766" t="e">
        <f>'[1]Annex 11 Fuel Properties'!A12+1</f>
        <v>#REF!</v>
      </c>
      <c r="B28" s="767" t="s">
        <v>2214</v>
      </c>
      <c r="C28" s="712" t="s">
        <v>448</v>
      </c>
      <c r="D28" s="712" t="s">
        <v>156</v>
      </c>
      <c r="E28" s="712" t="s">
        <v>2215</v>
      </c>
      <c r="F28" s="712" t="s">
        <v>2216</v>
      </c>
      <c r="G28" s="712" t="s">
        <v>2217</v>
      </c>
      <c r="H28" s="757"/>
    </row>
    <row r="29" spans="1:8">
      <c r="A29" s="729"/>
      <c r="B29" s="768" t="s">
        <v>2218</v>
      </c>
      <c r="C29" s="769">
        <v>1</v>
      </c>
      <c r="D29" s="770">
        <v>277.77777777799997</v>
      </c>
      <c r="E29" s="771">
        <v>9.4781707770000008</v>
      </c>
      <c r="F29" s="771">
        <v>2.3884590000000001E-2</v>
      </c>
      <c r="G29" s="772">
        <v>238902.95761861501</v>
      </c>
    </row>
    <row r="30" spans="1:8">
      <c r="A30" s="729"/>
      <c r="B30" s="768" t="s">
        <v>2219</v>
      </c>
      <c r="C30" s="773">
        <f>1/D29</f>
        <v>3.5999999999971203E-3</v>
      </c>
      <c r="D30" s="769">
        <f t="shared" ref="D30:G33" si="0">$C30*D$29</f>
        <v>1</v>
      </c>
      <c r="E30" s="771">
        <f t="shared" si="0"/>
        <v>3.4121414797172706E-2</v>
      </c>
      <c r="F30" s="771">
        <f t="shared" si="0"/>
        <v>8.5984523999931223E-5</v>
      </c>
      <c r="G30" s="770">
        <f t="shared" si="0"/>
        <v>860.05064742632601</v>
      </c>
    </row>
    <row r="31" spans="1:8">
      <c r="A31" s="729"/>
      <c r="B31" s="768" t="s">
        <v>2220</v>
      </c>
      <c r="C31" s="771">
        <f>1/E29</f>
        <v>0.10550559000547115</v>
      </c>
      <c r="D31" s="774">
        <f t="shared" si="0"/>
        <v>29.307108334876538</v>
      </c>
      <c r="E31" s="769">
        <f t="shared" si="0"/>
        <v>1</v>
      </c>
      <c r="F31" s="771">
        <f t="shared" si="0"/>
        <v>2.5199577599887761E-3</v>
      </c>
      <c r="G31" s="772">
        <f t="shared" si="0"/>
        <v>25205.597497604045</v>
      </c>
    </row>
    <row r="32" spans="1:8">
      <c r="A32" s="729"/>
      <c r="B32" s="768" t="s">
        <v>2221</v>
      </c>
      <c r="C32" s="774">
        <f>1/F29</f>
        <v>41.867999408823849</v>
      </c>
      <c r="D32" s="772">
        <f t="shared" si="0"/>
        <v>11629.999835793706</v>
      </c>
      <c r="E32" s="770">
        <f t="shared" si="0"/>
        <v>396.83204848816752</v>
      </c>
      <c r="F32" s="769">
        <f t="shared" si="0"/>
        <v>1</v>
      </c>
      <c r="G32" s="772">
        <f t="shared" si="0"/>
        <v>10002388.888342442</v>
      </c>
    </row>
    <row r="33" spans="1:8">
      <c r="A33" s="729"/>
      <c r="B33" s="768" t="s">
        <v>2222</v>
      </c>
      <c r="C33" s="775">
        <f>1/G29</f>
        <v>4.1858000000000057E-6</v>
      </c>
      <c r="D33" s="776">
        <f t="shared" si="0"/>
        <v>1.1627222222231539E-3</v>
      </c>
      <c r="E33" s="775">
        <f t="shared" si="0"/>
        <v>3.9673727238366659E-5</v>
      </c>
      <c r="F33" s="775">
        <f t="shared" si="0"/>
        <v>9.9976116822000138E-8</v>
      </c>
      <c r="G33" s="769">
        <f t="shared" si="0"/>
        <v>1</v>
      </c>
    </row>
    <row r="34" spans="1:8">
      <c r="A34" s="729"/>
      <c r="C34" s="757"/>
      <c r="D34" s="757"/>
      <c r="E34" s="757"/>
      <c r="F34" s="757"/>
      <c r="G34" s="757"/>
    </row>
    <row r="35" spans="1:8">
      <c r="A35" s="729"/>
      <c r="C35" s="757"/>
      <c r="D35" s="757"/>
      <c r="E35" s="757"/>
      <c r="F35" s="757"/>
      <c r="G35" s="757"/>
    </row>
    <row r="36" spans="1:8">
      <c r="A36" s="764" t="s">
        <v>2223</v>
      </c>
      <c r="B36" s="765" t="s">
        <v>2224</v>
      </c>
      <c r="C36" s="757"/>
      <c r="D36" s="757"/>
      <c r="E36" s="757"/>
      <c r="F36" s="757"/>
      <c r="G36" s="757"/>
      <c r="H36" s="757"/>
    </row>
    <row r="37" spans="1:8" ht="15.6">
      <c r="A37" s="777" t="e">
        <f>$A$28</f>
        <v>#REF!</v>
      </c>
      <c r="B37" s="767" t="s">
        <v>2214</v>
      </c>
      <c r="C37" s="712" t="s">
        <v>2225</v>
      </c>
      <c r="D37" s="712" t="s">
        <v>2226</v>
      </c>
      <c r="E37" s="712" t="s">
        <v>2227</v>
      </c>
      <c r="F37" s="712" t="s">
        <v>2228</v>
      </c>
      <c r="G37" s="712" t="s">
        <v>2229</v>
      </c>
      <c r="H37" s="712" t="s">
        <v>2230</v>
      </c>
    </row>
    <row r="38" spans="1:8">
      <c r="A38" s="729"/>
      <c r="B38" s="768" t="s">
        <v>2231</v>
      </c>
      <c r="C38" s="769">
        <v>1</v>
      </c>
      <c r="D38" s="778">
        <v>1E-3</v>
      </c>
      <c r="E38" s="779">
        <v>3.5314667000000001E-2</v>
      </c>
      <c r="F38" s="779">
        <v>0.21996924800000001</v>
      </c>
      <c r="G38" s="779">
        <v>0.26417205100000002</v>
      </c>
      <c r="H38" s="780">
        <v>6.2898110000000002E-3</v>
      </c>
    </row>
    <row r="39" spans="1:8" ht="15.6">
      <c r="A39" s="729"/>
      <c r="B39" s="768" t="s">
        <v>2232</v>
      </c>
      <c r="C39" s="781">
        <f>1/D38</f>
        <v>1000</v>
      </c>
      <c r="D39" s="769">
        <f t="shared" ref="D39:H43" si="1">$C39*D$38</f>
        <v>1</v>
      </c>
      <c r="E39" s="778">
        <f t="shared" si="1"/>
        <v>35.314667</v>
      </c>
      <c r="F39" s="782">
        <f t="shared" si="1"/>
        <v>219.96924799999999</v>
      </c>
      <c r="G39" s="782">
        <f t="shared" si="1"/>
        <v>264.17205100000001</v>
      </c>
      <c r="H39" s="783">
        <f t="shared" si="1"/>
        <v>6.2898110000000003</v>
      </c>
    </row>
    <row r="40" spans="1:8">
      <c r="A40" s="729"/>
      <c r="B40" s="768" t="s">
        <v>2233</v>
      </c>
      <c r="C40" s="778">
        <f>1/E38</f>
        <v>28.316846368677353</v>
      </c>
      <c r="D40" s="779">
        <f t="shared" si="1"/>
        <v>2.8316846368677356E-2</v>
      </c>
      <c r="E40" s="769">
        <f t="shared" si="1"/>
        <v>1</v>
      </c>
      <c r="F40" s="783">
        <f t="shared" si="1"/>
        <v>6.228835401449488</v>
      </c>
      <c r="G40" s="779">
        <f t="shared" si="1"/>
        <v>7.4805193830653991</v>
      </c>
      <c r="H40" s="779">
        <f t="shared" si="1"/>
        <v>0.17810761177501688</v>
      </c>
    </row>
    <row r="41" spans="1:8">
      <c r="A41" s="729"/>
      <c r="B41" s="768" t="s">
        <v>2234</v>
      </c>
      <c r="C41" s="783">
        <f>1/F38</f>
        <v>4.5460900061812275</v>
      </c>
      <c r="D41" s="779">
        <f t="shared" si="1"/>
        <v>4.5460900061812274E-3</v>
      </c>
      <c r="E41" s="779">
        <f t="shared" si="1"/>
        <v>0.16054365472031801</v>
      </c>
      <c r="F41" s="769">
        <f t="shared" si="1"/>
        <v>1</v>
      </c>
      <c r="G41" s="779">
        <f t="shared" si="1"/>
        <v>1.2009499209634977</v>
      </c>
      <c r="H41" s="784">
        <f t="shared" si="1"/>
        <v>2.8594046927868752E-2</v>
      </c>
    </row>
    <row r="42" spans="1:8">
      <c r="A42" s="729"/>
      <c r="B42" s="768" t="s">
        <v>2229</v>
      </c>
      <c r="C42" s="783">
        <f>1/G38</f>
        <v>3.7854118034613733</v>
      </c>
      <c r="D42" s="780">
        <f t="shared" si="1"/>
        <v>3.7854118034613732E-3</v>
      </c>
      <c r="E42" s="779">
        <f t="shared" si="1"/>
        <v>0.13368055729710784</v>
      </c>
      <c r="F42" s="779">
        <f t="shared" si="1"/>
        <v>0.83267418777772206</v>
      </c>
      <c r="G42" s="769">
        <f t="shared" si="1"/>
        <v>1</v>
      </c>
      <c r="H42" s="784">
        <f t="shared" si="1"/>
        <v>2.3809524800941183E-2</v>
      </c>
    </row>
    <row r="43" spans="1:8">
      <c r="A43" s="729"/>
      <c r="B43" s="768" t="s">
        <v>2235</v>
      </c>
      <c r="C43" s="782">
        <f>1/H38</f>
        <v>158.98728912522174</v>
      </c>
      <c r="D43" s="779">
        <f t="shared" si="1"/>
        <v>0.15898728912522173</v>
      </c>
      <c r="E43" s="783">
        <f t="shared" si="1"/>
        <v>5.6145831726899269</v>
      </c>
      <c r="F43" s="778">
        <f t="shared" si="1"/>
        <v>34.972314430433606</v>
      </c>
      <c r="G43" s="781">
        <f t="shared" si="1"/>
        <v>41.999998251139822</v>
      </c>
      <c r="H43" s="769">
        <f t="shared" si="1"/>
        <v>1</v>
      </c>
    </row>
    <row r="44" spans="1:8">
      <c r="A44" s="729"/>
      <c r="C44" s="757"/>
      <c r="D44" s="757"/>
      <c r="E44" s="757"/>
      <c r="F44" s="757"/>
      <c r="G44" s="757"/>
      <c r="H44" s="757"/>
    </row>
    <row r="45" spans="1:8">
      <c r="A45" s="729"/>
      <c r="B45" s="729"/>
      <c r="C45" s="757"/>
      <c r="D45" s="757"/>
      <c r="E45" s="757"/>
      <c r="F45" s="757"/>
      <c r="G45" s="757"/>
      <c r="H45" s="757"/>
    </row>
    <row r="46" spans="1:8">
      <c r="A46" s="764" t="s">
        <v>2236</v>
      </c>
      <c r="B46" s="765" t="s">
        <v>2237</v>
      </c>
      <c r="C46" s="757"/>
      <c r="D46" s="757"/>
      <c r="E46" s="757"/>
      <c r="F46" s="757"/>
      <c r="G46" s="757"/>
      <c r="H46" s="757"/>
    </row>
    <row r="47" spans="1:8">
      <c r="A47" s="777" t="e">
        <f>$A$28</f>
        <v>#REF!</v>
      </c>
      <c r="B47" s="767" t="s">
        <v>2214</v>
      </c>
      <c r="C47" s="712" t="s">
        <v>88</v>
      </c>
      <c r="D47" s="712" t="s">
        <v>2238</v>
      </c>
      <c r="E47" s="712" t="s">
        <v>2239</v>
      </c>
      <c r="F47" s="712" t="s">
        <v>2240</v>
      </c>
      <c r="G47" s="712" t="s">
        <v>2241</v>
      </c>
      <c r="H47" s="757"/>
    </row>
    <row r="48" spans="1:8">
      <c r="A48" s="729"/>
      <c r="B48" s="768" t="s">
        <v>2242</v>
      </c>
      <c r="C48" s="769">
        <v>1</v>
      </c>
      <c r="D48" s="778">
        <v>1E-3</v>
      </c>
      <c r="E48" s="779">
        <v>9.8420699999999996E-4</v>
      </c>
      <c r="F48" s="779">
        <v>1.1023109999999999E-3</v>
      </c>
      <c r="G48" s="779">
        <f>G50/C50</f>
        <v>2.2046236800000001</v>
      </c>
      <c r="H48" s="757"/>
    </row>
    <row r="49" spans="1:10">
      <c r="A49" s="729"/>
      <c r="B49" s="715" t="s">
        <v>2243</v>
      </c>
      <c r="C49" s="781">
        <f>1/D48</f>
        <v>1000</v>
      </c>
      <c r="D49" s="769">
        <f>$C49*D$48</f>
        <v>1</v>
      </c>
      <c r="E49" s="779">
        <f>$C49*E$48</f>
        <v>0.98420699999999994</v>
      </c>
      <c r="F49" s="779">
        <f>$C49*F$48</f>
        <v>1.1023109999999998</v>
      </c>
      <c r="G49" s="779">
        <f>$C49*G$48</f>
        <v>2204.6236800000001</v>
      </c>
      <c r="H49" s="757"/>
    </row>
    <row r="50" spans="1:10">
      <c r="A50" s="729"/>
      <c r="B50" s="715" t="s">
        <v>2244</v>
      </c>
      <c r="C50" s="779">
        <f>1/E48</f>
        <v>1016.0464211288886</v>
      </c>
      <c r="D50" s="779">
        <f t="shared" ref="D50:F52" si="2">$C50*D$48</f>
        <v>1.0160464211288887</v>
      </c>
      <c r="E50" s="769">
        <f t="shared" si="2"/>
        <v>1</v>
      </c>
      <c r="F50" s="779">
        <f t="shared" si="2"/>
        <v>1.1199991465210062</v>
      </c>
      <c r="G50" s="781">
        <v>2240</v>
      </c>
      <c r="H50" s="757"/>
    </row>
    <row r="51" spans="1:10">
      <c r="A51" s="729"/>
      <c r="B51" s="715" t="s">
        <v>2245</v>
      </c>
      <c r="C51" s="782">
        <f>1/F48</f>
        <v>907.18499588591612</v>
      </c>
      <c r="D51" s="779">
        <f t="shared" si="2"/>
        <v>0.90718499588591617</v>
      </c>
      <c r="E51" s="779">
        <f t="shared" si="2"/>
        <v>0.8928578232458898</v>
      </c>
      <c r="F51" s="769">
        <f t="shared" si="2"/>
        <v>1</v>
      </c>
      <c r="G51" s="781">
        <f>$C51*G$48</f>
        <v>2000.0015240707933</v>
      </c>
      <c r="H51" s="757"/>
    </row>
    <row r="52" spans="1:10">
      <c r="A52" s="729"/>
      <c r="B52" s="768" t="s">
        <v>2246</v>
      </c>
      <c r="C52" s="779">
        <f>1/G48</f>
        <v>0.45359215228968236</v>
      </c>
      <c r="D52" s="785">
        <f t="shared" si="2"/>
        <v>4.5359215228968239E-4</v>
      </c>
      <c r="E52" s="785">
        <f t="shared" si="2"/>
        <v>4.4642857142857141E-4</v>
      </c>
      <c r="F52" s="779">
        <f t="shared" si="2"/>
        <v>4.9999961898259206E-4</v>
      </c>
      <c r="G52" s="769">
        <f>$C52*G$48</f>
        <v>1</v>
      </c>
      <c r="H52" s="757"/>
    </row>
    <row r="53" spans="1:10">
      <c r="A53" s="729"/>
      <c r="C53" s="757"/>
      <c r="D53" s="757"/>
      <c r="E53" s="757"/>
      <c r="F53" s="757"/>
      <c r="G53" s="757"/>
      <c r="H53" s="757"/>
    </row>
    <row r="54" spans="1:10">
      <c r="A54" s="729"/>
      <c r="C54" s="757"/>
      <c r="D54" s="757"/>
      <c r="E54" s="757"/>
      <c r="F54" s="757"/>
      <c r="G54" s="757"/>
      <c r="H54" s="757"/>
    </row>
    <row r="55" spans="1:10">
      <c r="A55" s="764" t="s">
        <v>2247</v>
      </c>
      <c r="B55" s="765" t="s">
        <v>2248</v>
      </c>
      <c r="C55" s="757"/>
      <c r="D55" s="757"/>
      <c r="E55" s="757"/>
      <c r="F55" s="757"/>
      <c r="G55" s="757"/>
      <c r="H55" s="757"/>
    </row>
    <row r="56" spans="1:10">
      <c r="A56" s="777" t="e">
        <f>$A$28</f>
        <v>#REF!</v>
      </c>
      <c r="B56" s="767" t="s">
        <v>2214</v>
      </c>
      <c r="C56" s="712" t="s">
        <v>2249</v>
      </c>
      <c r="D56" s="712" t="s">
        <v>2250</v>
      </c>
      <c r="E56" s="712" t="s">
        <v>2251</v>
      </c>
      <c r="F56" s="712" t="s">
        <v>2252</v>
      </c>
      <c r="G56" s="712" t="s">
        <v>2253</v>
      </c>
      <c r="H56" s="757"/>
      <c r="I56" s="757"/>
      <c r="J56" s="757"/>
    </row>
    <row r="57" spans="1:10">
      <c r="B57" s="768" t="s">
        <v>2254</v>
      </c>
      <c r="C57" s="769">
        <v>1</v>
      </c>
      <c r="D57" s="783">
        <v>3.2808398950000002</v>
      </c>
      <c r="E57" s="786">
        <f>E60/1000</f>
        <v>6.2137119223733392E-4</v>
      </c>
      <c r="F57" s="787">
        <v>1E-3</v>
      </c>
      <c r="G57" s="786">
        <f>G60/1000</f>
        <v>5.3995680351745805E-4</v>
      </c>
      <c r="H57" s="757"/>
      <c r="I57" s="757"/>
      <c r="J57" s="757"/>
    </row>
    <row r="58" spans="1:10">
      <c r="B58" s="768" t="s">
        <v>2255</v>
      </c>
      <c r="C58" s="779">
        <f>1/D57</f>
        <v>0.30480000000121921</v>
      </c>
      <c r="D58" s="769">
        <f>$E58*D$59</f>
        <v>1</v>
      </c>
      <c r="E58" s="778">
        <f>$C58*E$57</f>
        <v>1.8939393939469695E-4</v>
      </c>
      <c r="F58" s="780">
        <f>$C58*F$57</f>
        <v>3.0480000000121922E-4</v>
      </c>
      <c r="G58" s="785">
        <f>$C58*G$57</f>
        <v>1.6457883371277953E-4</v>
      </c>
      <c r="H58" s="757"/>
      <c r="I58" s="757"/>
      <c r="J58" s="757"/>
    </row>
    <row r="59" spans="1:10">
      <c r="B59" s="768" t="s">
        <v>2256</v>
      </c>
      <c r="C59" s="782">
        <f>1/E57</f>
        <v>1609.3440000000001</v>
      </c>
      <c r="D59" s="781">
        <f>$C59*D$57</f>
        <v>5279.9999999788806</v>
      </c>
      <c r="E59" s="769">
        <v>1</v>
      </c>
      <c r="F59" s="779">
        <v>1.6093440000000001</v>
      </c>
      <c r="G59" s="779">
        <v>0.86897624200000001</v>
      </c>
      <c r="H59" s="757"/>
      <c r="I59" s="757"/>
      <c r="J59" s="757"/>
    </row>
    <row r="60" spans="1:10">
      <c r="B60" s="715" t="s">
        <v>2257</v>
      </c>
      <c r="C60" s="781">
        <f>1/F57</f>
        <v>1000</v>
      </c>
      <c r="D60" s="788">
        <f>$C60*D$57</f>
        <v>3280.8398950000001</v>
      </c>
      <c r="E60" s="779">
        <f>1/F59</f>
        <v>0.62137119223733395</v>
      </c>
      <c r="F60" s="769">
        <f>$E60*F$59</f>
        <v>1</v>
      </c>
      <c r="G60" s="779">
        <f>$E60*G$59</f>
        <v>0.53995680351745801</v>
      </c>
      <c r="H60" s="757"/>
      <c r="I60" s="757"/>
      <c r="J60" s="757"/>
    </row>
    <row r="61" spans="1:10">
      <c r="B61" s="768" t="s">
        <v>2258</v>
      </c>
      <c r="C61" s="781">
        <f>1/G57</f>
        <v>1851.9999997882567</v>
      </c>
      <c r="D61" s="788">
        <f>$C61*D$57</f>
        <v>6076.1154848453043</v>
      </c>
      <c r="E61" s="779">
        <f>1/G59</f>
        <v>1.1507794478919713</v>
      </c>
      <c r="F61" s="778">
        <f>$E61*F$59</f>
        <v>1.8519999997882568</v>
      </c>
      <c r="G61" s="769">
        <f>$E61*G$59</f>
        <v>1</v>
      </c>
      <c r="H61" s="757"/>
      <c r="I61" s="757"/>
      <c r="J61" s="757"/>
    </row>
    <row r="62" spans="1:10">
      <c r="C62" s="757"/>
      <c r="D62" s="757"/>
      <c r="E62" s="757"/>
      <c r="F62" s="757"/>
      <c r="G62" s="757"/>
      <c r="H62" s="757"/>
    </row>
    <row r="63" spans="1:10">
      <c r="B63" s="767" t="s">
        <v>2214</v>
      </c>
      <c r="C63" s="712" t="s">
        <v>2249</v>
      </c>
      <c r="D63" s="712" t="s">
        <v>2250</v>
      </c>
      <c r="E63" s="712" t="s">
        <v>2259</v>
      </c>
      <c r="F63" s="712" t="s">
        <v>2260</v>
      </c>
      <c r="G63" s="712" t="s">
        <v>2261</v>
      </c>
      <c r="H63" s="757"/>
    </row>
    <row r="64" spans="1:10">
      <c r="B64" s="768" t="s">
        <v>2254</v>
      </c>
      <c r="C64" s="769">
        <v>1</v>
      </c>
      <c r="D64" s="779">
        <v>3.2808398950000002</v>
      </c>
      <c r="E64" s="779">
        <v>39.370078739999997</v>
      </c>
      <c r="F64" s="781">
        <v>100</v>
      </c>
      <c r="G64" s="779">
        <v>1.093613298</v>
      </c>
      <c r="H64" s="757"/>
    </row>
    <row r="65" spans="2:8">
      <c r="B65" s="768" t="s">
        <v>2255</v>
      </c>
      <c r="C65" s="779">
        <f>1/D64</f>
        <v>0.30480000000121921</v>
      </c>
      <c r="D65" s="769">
        <f t="shared" ref="D65:G68" si="3">$C65*D$64</f>
        <v>1</v>
      </c>
      <c r="E65" s="781">
        <f t="shared" si="3"/>
        <v>12</v>
      </c>
      <c r="F65" s="779">
        <f t="shared" si="3"/>
        <v>30.480000000121919</v>
      </c>
      <c r="G65" s="779">
        <f t="shared" si="3"/>
        <v>0.33333333323173331</v>
      </c>
      <c r="H65" s="757"/>
    </row>
    <row r="66" spans="2:8">
      <c r="B66" s="768" t="s">
        <v>2262</v>
      </c>
      <c r="C66" s="779">
        <f>1/E64</f>
        <v>2.5400000000101602E-2</v>
      </c>
      <c r="D66" s="779">
        <f t="shared" si="3"/>
        <v>8.3333333333333343E-2</v>
      </c>
      <c r="E66" s="769">
        <f t="shared" si="3"/>
        <v>1</v>
      </c>
      <c r="F66" s="779">
        <f t="shared" si="3"/>
        <v>2.5400000000101604</v>
      </c>
      <c r="G66" s="779">
        <f t="shared" si="3"/>
        <v>2.7777777769311111E-2</v>
      </c>
      <c r="H66" s="757"/>
    </row>
    <row r="67" spans="2:8">
      <c r="B67" s="715" t="s">
        <v>2263</v>
      </c>
      <c r="C67" s="782">
        <f>1/F64</f>
        <v>0.01</v>
      </c>
      <c r="D67" s="779">
        <f t="shared" si="3"/>
        <v>3.2808398950000005E-2</v>
      </c>
      <c r="E67" s="779">
        <f t="shared" si="3"/>
        <v>0.39370078739999997</v>
      </c>
      <c r="F67" s="769">
        <f t="shared" si="3"/>
        <v>1</v>
      </c>
      <c r="G67" s="779">
        <f t="shared" si="3"/>
        <v>1.0936132979999999E-2</v>
      </c>
      <c r="H67" s="757"/>
    </row>
    <row r="68" spans="2:8">
      <c r="B68" s="768" t="s">
        <v>2264</v>
      </c>
      <c r="C68" s="779">
        <f>1/G64</f>
        <v>0.91440000028236679</v>
      </c>
      <c r="D68" s="781">
        <f t="shared" si="3"/>
        <v>3.0000000009144006</v>
      </c>
      <c r="E68" s="781">
        <f t="shared" si="3"/>
        <v>36.000000010972798</v>
      </c>
      <c r="F68" s="779">
        <f t="shared" si="3"/>
        <v>91.440000028236682</v>
      </c>
      <c r="G68" s="769">
        <f t="shared" si="3"/>
        <v>1</v>
      </c>
      <c r="H68" s="757"/>
    </row>
  </sheetData>
  <mergeCells count="7">
    <mergeCell ref="B17:G18"/>
    <mergeCell ref="B7:G7"/>
    <mergeCell ref="B8:G8"/>
    <mergeCell ref="B9:G9"/>
    <mergeCell ref="B11:G11"/>
    <mergeCell ref="B13:G13"/>
    <mergeCell ref="B15:G15"/>
  </mergeCells>
  <hyperlinks>
    <hyperlink ref="B17:G18" r:id="rId1" display="If this annex does not have the conversion factor you are looking for, a more complete list of conversions is available here: http://www.onlineconversion.com/" xr:uid="{00000000-0004-0000-1E00-000000000000}"/>
    <hyperlink ref="A1" location="'About og Fane-Link'!A1" display="Til Forsiden" xr:uid="{00000000-0004-0000-1E00-000001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303"/>
  <sheetViews>
    <sheetView topLeftCell="A121" workbookViewId="0"/>
  </sheetViews>
  <sheetFormatPr defaultColWidth="9.109375" defaultRowHeight="13.2"/>
  <cols>
    <col min="1" max="1" width="9" style="368" customWidth="1"/>
    <col min="2" max="2" width="10.109375" style="368" customWidth="1"/>
    <col min="3" max="3" width="32" style="368" customWidth="1"/>
    <col min="4" max="4" width="11.6640625" style="368" customWidth="1"/>
    <col min="5" max="5" width="8.109375" style="368" customWidth="1"/>
    <col min="6" max="6" width="11.109375" style="757" customWidth="1"/>
    <col min="7" max="7" width="7" style="757" customWidth="1"/>
    <col min="8" max="8" width="6.33203125" style="757" customWidth="1"/>
    <col min="9" max="9" width="5.5546875" style="757" customWidth="1"/>
    <col min="10" max="10" width="1.6640625" style="757" customWidth="1"/>
    <col min="11" max="11" width="17.88671875" style="757" customWidth="1"/>
    <col min="12" max="12" width="2" style="757" bestFit="1" customWidth="1"/>
    <col min="13" max="13" width="11.33203125" style="757" customWidth="1"/>
    <col min="14" max="14" width="12.6640625" style="368" customWidth="1"/>
    <col min="15" max="15" width="4.6640625" style="368" customWidth="1"/>
    <col min="16" max="16384" width="9.109375" style="368"/>
  </cols>
  <sheetData>
    <row r="1" spans="1:19" ht="15.6">
      <c r="A1" s="44" t="s">
        <v>2527</v>
      </c>
      <c r="C1" s="756" t="s">
        <v>2529</v>
      </c>
      <c r="E1" s="757"/>
    </row>
    <row r="2" spans="1:19">
      <c r="A2" s="1079" t="s">
        <v>2198</v>
      </c>
      <c r="B2" s="1080"/>
      <c r="C2" s="789">
        <v>40718</v>
      </c>
      <c r="D2" s="790"/>
      <c r="E2" s="757"/>
    </row>
    <row r="3" spans="1:19" s="754" customFormat="1" ht="7.8">
      <c r="E3" s="755"/>
      <c r="F3" s="755"/>
      <c r="G3" s="755"/>
      <c r="H3" s="755"/>
      <c r="I3" s="755"/>
      <c r="J3" s="755"/>
      <c r="K3" s="755"/>
      <c r="L3" s="755"/>
      <c r="M3" s="755"/>
    </row>
    <row r="4" spans="1:19" customFormat="1" ht="12.75" customHeight="1">
      <c r="A4" s="791"/>
      <c r="B4" s="1081" t="s">
        <v>2265</v>
      </c>
      <c r="C4" s="1081"/>
      <c r="D4" s="1081"/>
      <c r="E4" s="1081"/>
      <c r="F4" s="1081"/>
      <c r="G4" s="1081"/>
      <c r="H4" s="1081"/>
      <c r="I4" s="1081"/>
      <c r="J4" s="1081"/>
      <c r="K4" s="1081"/>
      <c r="L4" s="1081"/>
      <c r="M4" s="1081"/>
      <c r="N4" s="1081"/>
      <c r="O4" s="791"/>
      <c r="P4" s="791"/>
      <c r="Q4" s="791"/>
      <c r="R4" s="791"/>
      <c r="S4" s="791"/>
    </row>
    <row r="5" spans="1:19" customFormat="1">
      <c r="A5" s="791"/>
      <c r="B5" s="1081"/>
      <c r="C5" s="1081"/>
      <c r="D5" s="1081"/>
      <c r="E5" s="1081"/>
      <c r="F5" s="1081"/>
      <c r="G5" s="1081"/>
      <c r="H5" s="1081"/>
      <c r="I5" s="1081"/>
      <c r="J5" s="1081"/>
      <c r="K5" s="1081"/>
      <c r="L5" s="1081"/>
      <c r="M5" s="1081"/>
      <c r="N5" s="1081"/>
      <c r="O5" s="791"/>
      <c r="P5" s="791"/>
      <c r="Q5" s="791"/>
      <c r="R5" s="791"/>
      <c r="S5" s="791"/>
    </row>
    <row r="6" spans="1:19" customFormat="1">
      <c r="A6" s="791"/>
      <c r="B6" s="1081"/>
      <c r="C6" s="1081"/>
      <c r="D6" s="1081"/>
      <c r="E6" s="1081"/>
      <c r="F6" s="1081"/>
      <c r="G6" s="1081"/>
      <c r="H6" s="1081"/>
      <c r="I6" s="1081"/>
      <c r="J6" s="1081"/>
      <c r="K6" s="1081"/>
      <c r="L6" s="1081"/>
      <c r="M6" s="1081"/>
      <c r="N6" s="1081"/>
      <c r="O6" s="791"/>
      <c r="P6" s="791"/>
      <c r="Q6" s="791"/>
      <c r="R6" s="791"/>
      <c r="S6" s="791"/>
    </row>
    <row r="7" spans="1:19" customFormat="1">
      <c r="A7" s="792"/>
      <c r="B7" s="1081"/>
      <c r="C7" s="1081"/>
      <c r="D7" s="1081"/>
      <c r="E7" s="1081"/>
      <c r="F7" s="1081"/>
      <c r="G7" s="1081"/>
      <c r="H7" s="1081"/>
      <c r="I7" s="1081"/>
      <c r="J7" s="1081"/>
      <c r="K7" s="1081"/>
      <c r="L7" s="1081"/>
      <c r="M7" s="1081"/>
      <c r="N7" s="1081"/>
      <c r="O7" s="792"/>
      <c r="P7" s="792"/>
      <c r="Q7" s="792"/>
      <c r="R7" s="792"/>
      <c r="S7" s="792"/>
    </row>
    <row r="8" spans="1:19" customFormat="1">
      <c r="A8" s="791"/>
      <c r="B8" s="793"/>
      <c r="C8" s="794"/>
      <c r="D8" s="794"/>
      <c r="E8" s="794"/>
      <c r="F8" s="795"/>
      <c r="G8" s="795"/>
      <c r="H8" s="795"/>
      <c r="I8" s="795"/>
      <c r="J8" s="795"/>
      <c r="K8" s="795"/>
      <c r="L8" s="795"/>
      <c r="M8" s="795"/>
      <c r="N8" s="794"/>
      <c r="O8" s="791"/>
      <c r="P8" s="791"/>
      <c r="Q8" s="791"/>
      <c r="R8" s="791"/>
      <c r="S8" s="791"/>
    </row>
    <row r="9" spans="1:19" customFormat="1">
      <c r="A9" s="791"/>
      <c r="B9" s="796" t="s">
        <v>2199</v>
      </c>
      <c r="C9" s="796"/>
      <c r="D9" s="794"/>
      <c r="E9" s="794"/>
      <c r="F9" s="795"/>
      <c r="G9" s="795"/>
      <c r="H9" s="795"/>
      <c r="I9" s="795"/>
      <c r="J9" s="795"/>
      <c r="K9" s="795"/>
      <c r="L9" s="795"/>
      <c r="M9" s="795"/>
      <c r="N9" s="794"/>
      <c r="O9" s="791"/>
      <c r="P9" s="791"/>
      <c r="Q9" s="791"/>
      <c r="R9" s="791"/>
      <c r="S9" s="791"/>
    </row>
    <row r="10" spans="1:19" customFormat="1">
      <c r="A10" s="792"/>
      <c r="B10" s="797"/>
      <c r="C10" s="798"/>
      <c r="D10" s="798"/>
      <c r="E10" s="798"/>
      <c r="F10" s="799"/>
      <c r="G10" s="799"/>
      <c r="H10" s="799"/>
      <c r="I10" s="799"/>
      <c r="J10" s="799"/>
      <c r="K10" s="799"/>
      <c r="L10" s="799"/>
      <c r="M10" s="799"/>
      <c r="N10" s="798"/>
      <c r="O10" s="792"/>
      <c r="P10" s="792"/>
      <c r="Q10" s="792"/>
      <c r="R10" s="792"/>
      <c r="S10" s="792"/>
    </row>
    <row r="11" spans="1:19" customFormat="1" ht="40.5" customHeight="1">
      <c r="A11" s="800"/>
      <c r="B11" s="968" t="s">
        <v>2266</v>
      </c>
      <c r="C11" s="968"/>
      <c r="D11" s="968"/>
      <c r="E11" s="968"/>
      <c r="F11" s="968"/>
      <c r="G11" s="968"/>
      <c r="H11" s="968"/>
      <c r="I11" s="968"/>
      <c r="J11" s="968"/>
      <c r="K11" s="968"/>
      <c r="L11" s="968"/>
      <c r="M11" s="968"/>
      <c r="N11" s="968"/>
      <c r="O11" s="800"/>
      <c r="P11" s="800"/>
      <c r="Q11" s="800"/>
      <c r="R11" s="800"/>
      <c r="S11" s="800"/>
    </row>
    <row r="12" spans="1:19" customFormat="1" ht="12.75" customHeight="1">
      <c r="A12" s="801"/>
      <c r="B12" s="968" t="s">
        <v>2267</v>
      </c>
      <c r="C12" s="968"/>
      <c r="D12" s="968"/>
      <c r="E12" s="968"/>
      <c r="F12" s="968"/>
      <c r="G12" s="968"/>
      <c r="H12" s="968"/>
      <c r="I12" s="968"/>
      <c r="J12" s="968"/>
      <c r="K12" s="968"/>
      <c r="L12" s="968"/>
      <c r="M12" s="968"/>
      <c r="N12" s="968"/>
      <c r="O12" s="801"/>
      <c r="P12" s="801"/>
      <c r="Q12" s="801"/>
      <c r="R12" s="801"/>
      <c r="S12" s="801"/>
    </row>
    <row r="13" spans="1:19" customFormat="1">
      <c r="A13" s="801"/>
      <c r="B13" s="968"/>
      <c r="C13" s="968"/>
      <c r="D13" s="968"/>
      <c r="E13" s="968"/>
      <c r="F13" s="968"/>
      <c r="G13" s="968"/>
      <c r="H13" s="968"/>
      <c r="I13" s="968"/>
      <c r="J13" s="968"/>
      <c r="K13" s="968"/>
      <c r="L13" s="968"/>
      <c r="M13" s="968"/>
      <c r="N13" s="968"/>
      <c r="O13" s="801"/>
      <c r="P13" s="801"/>
      <c r="Q13" s="801"/>
      <c r="R13" s="801"/>
      <c r="S13" s="801"/>
    </row>
    <row r="14" spans="1:19" customFormat="1">
      <c r="A14" s="801"/>
      <c r="B14" s="968"/>
      <c r="C14" s="968"/>
      <c r="D14" s="968"/>
      <c r="E14" s="968"/>
      <c r="F14" s="968"/>
      <c r="G14" s="968"/>
      <c r="H14" s="968"/>
      <c r="I14" s="968"/>
      <c r="J14" s="968"/>
      <c r="K14" s="968"/>
      <c r="L14" s="968"/>
      <c r="M14" s="968"/>
      <c r="N14" s="968"/>
      <c r="O14" s="801"/>
      <c r="P14" s="801"/>
      <c r="Q14" s="801"/>
      <c r="R14" s="801"/>
      <c r="S14" s="801"/>
    </row>
    <row r="15" spans="1:19" customFormat="1">
      <c r="A15" s="801"/>
      <c r="B15" s="968"/>
      <c r="C15" s="968"/>
      <c r="D15" s="968"/>
      <c r="E15" s="968"/>
      <c r="F15" s="968"/>
      <c r="G15" s="968"/>
      <c r="H15" s="968"/>
      <c r="I15" s="968"/>
      <c r="J15" s="968"/>
      <c r="K15" s="968"/>
      <c r="L15" s="968"/>
      <c r="M15" s="968"/>
      <c r="N15" s="968"/>
      <c r="O15" s="801"/>
      <c r="P15" s="801"/>
      <c r="Q15" s="801"/>
      <c r="R15" s="801"/>
      <c r="S15" s="801"/>
    </row>
    <row r="16" spans="1:19" customFormat="1">
      <c r="A16" s="792"/>
      <c r="B16" s="968"/>
      <c r="C16" s="968"/>
      <c r="D16" s="968"/>
      <c r="E16" s="968"/>
      <c r="F16" s="968"/>
      <c r="G16" s="968"/>
      <c r="H16" s="968"/>
      <c r="I16" s="968"/>
      <c r="J16" s="968"/>
      <c r="K16" s="968"/>
      <c r="L16" s="968"/>
      <c r="M16" s="968"/>
      <c r="N16" s="968"/>
      <c r="O16" s="792"/>
      <c r="P16" s="792"/>
      <c r="Q16" s="792"/>
      <c r="R16" s="792"/>
      <c r="S16" s="792"/>
    </row>
    <row r="17" spans="1:19" customFormat="1" ht="12.75" customHeight="1">
      <c r="A17" s="791"/>
      <c r="B17" s="1063" t="s">
        <v>2268</v>
      </c>
      <c r="C17" s="1063"/>
      <c r="D17" s="1063"/>
      <c r="E17" s="1063"/>
      <c r="F17" s="1063"/>
      <c r="G17" s="1063"/>
      <c r="H17" s="1063"/>
      <c r="I17" s="1063"/>
      <c r="J17" s="1063"/>
      <c r="K17" s="1063"/>
      <c r="L17" s="1063"/>
      <c r="M17" s="1063"/>
      <c r="N17" s="1063"/>
      <c r="O17" s="791"/>
      <c r="P17" s="791"/>
      <c r="Q17" s="791"/>
      <c r="R17" s="791"/>
      <c r="S17" s="791"/>
    </row>
    <row r="18" spans="1:19" customFormat="1">
      <c r="A18" s="800"/>
      <c r="B18" s="802"/>
      <c r="C18" s="803"/>
      <c r="D18" s="803"/>
      <c r="E18" s="803"/>
      <c r="F18" s="804"/>
      <c r="G18" s="804"/>
      <c r="H18" s="804"/>
      <c r="I18" s="804"/>
      <c r="J18" s="804"/>
      <c r="K18" s="804"/>
      <c r="L18" s="804"/>
      <c r="M18" s="804"/>
      <c r="N18" s="803"/>
      <c r="O18" s="800"/>
      <c r="P18" s="800"/>
      <c r="Q18" s="800"/>
      <c r="R18" s="800"/>
      <c r="S18" s="800"/>
    </row>
    <row r="19" spans="1:19" customFormat="1" ht="12.75" customHeight="1">
      <c r="A19" s="791"/>
      <c r="B19" s="1063" t="s">
        <v>2269</v>
      </c>
      <c r="C19" s="1063"/>
      <c r="D19" s="1063"/>
      <c r="E19" s="1063"/>
      <c r="F19" s="1063"/>
      <c r="G19" s="1063"/>
      <c r="H19" s="1063"/>
      <c r="I19" s="1063"/>
      <c r="J19" s="1063"/>
      <c r="K19" s="1063"/>
      <c r="L19" s="1063"/>
      <c r="M19" s="1063"/>
      <c r="N19" s="1063"/>
      <c r="O19" s="791"/>
      <c r="P19" s="791"/>
      <c r="Q19" s="791"/>
      <c r="R19" s="791"/>
      <c r="S19" s="791"/>
    </row>
    <row r="20" spans="1:19" customFormat="1">
      <c r="A20" s="800"/>
      <c r="B20" s="802"/>
      <c r="C20" s="803"/>
      <c r="D20" s="803"/>
      <c r="E20" s="803"/>
      <c r="F20" s="804"/>
      <c r="G20" s="804"/>
      <c r="H20" s="804"/>
      <c r="I20" s="804"/>
      <c r="J20" s="804"/>
      <c r="K20" s="804"/>
      <c r="L20" s="804"/>
      <c r="M20" s="804"/>
      <c r="N20" s="803"/>
      <c r="O20" s="800"/>
      <c r="P20" s="800"/>
      <c r="Q20" s="800"/>
      <c r="R20" s="800"/>
      <c r="S20" s="800"/>
    </row>
    <row r="21" spans="1:19" customFormat="1" ht="29.25" customHeight="1">
      <c r="A21" s="791"/>
      <c r="B21" s="1063" t="s">
        <v>2270</v>
      </c>
      <c r="C21" s="1063"/>
      <c r="D21" s="1063"/>
      <c r="E21" s="1063"/>
      <c r="F21" s="1063"/>
      <c r="G21" s="1063"/>
      <c r="H21" s="1063"/>
      <c r="I21" s="1063"/>
      <c r="J21" s="1063"/>
      <c r="K21" s="1063"/>
      <c r="L21" s="1063"/>
      <c r="M21" s="1063"/>
      <c r="N21" s="1063"/>
      <c r="O21" s="791"/>
      <c r="P21" s="791"/>
      <c r="Q21" s="791"/>
      <c r="R21" s="791"/>
      <c r="S21" s="791"/>
    </row>
    <row r="22" spans="1:19" customFormat="1">
      <c r="A22" s="791"/>
      <c r="B22" s="762"/>
      <c r="C22" s="762"/>
      <c r="D22" s="762"/>
      <c r="E22" s="762"/>
      <c r="F22" s="762"/>
      <c r="G22" s="762"/>
      <c r="H22" s="762"/>
      <c r="I22" s="762"/>
      <c r="J22" s="762"/>
      <c r="K22" s="762"/>
      <c r="L22" s="762"/>
      <c r="M22" s="762"/>
      <c r="N22" s="762"/>
      <c r="O22" s="791"/>
      <c r="P22" s="791"/>
      <c r="Q22" s="791"/>
      <c r="R22" s="791"/>
      <c r="S22" s="791"/>
    </row>
    <row r="23" spans="1:19" s="805" customFormat="1" ht="53.25" customHeight="1">
      <c r="A23" s="791"/>
      <c r="B23" s="1082" t="s">
        <v>2271</v>
      </c>
      <c r="C23" s="1082"/>
      <c r="D23" s="1082"/>
      <c r="E23" s="1082"/>
      <c r="F23" s="1082"/>
      <c r="G23" s="1082"/>
      <c r="H23" s="1082"/>
      <c r="I23" s="1082"/>
      <c r="J23" s="1082"/>
      <c r="K23" s="1082"/>
      <c r="L23" s="1082"/>
      <c r="M23" s="1082"/>
      <c r="N23" s="1082"/>
      <c r="O23" s="791"/>
      <c r="P23" s="791"/>
      <c r="Q23" s="791"/>
      <c r="R23" s="791"/>
      <c r="S23" s="791"/>
    </row>
    <row r="24" spans="1:19" customFormat="1">
      <c r="A24" s="791"/>
      <c r="B24" s="762"/>
      <c r="C24" s="762"/>
      <c r="D24" s="762"/>
      <c r="E24" s="762"/>
      <c r="F24" s="762"/>
      <c r="G24" s="762"/>
      <c r="H24" s="762"/>
      <c r="I24" s="762"/>
      <c r="J24" s="762"/>
      <c r="K24" s="762"/>
      <c r="L24" s="762"/>
      <c r="M24" s="762"/>
      <c r="N24" s="762"/>
      <c r="O24" s="791"/>
      <c r="P24" s="791"/>
      <c r="Q24" s="791"/>
      <c r="R24" s="791"/>
      <c r="S24" s="791"/>
    </row>
    <row r="25" spans="1:19" customFormat="1" ht="12.75" customHeight="1">
      <c r="A25" s="806"/>
      <c r="B25" s="1083" t="s">
        <v>2272</v>
      </c>
      <c r="C25" s="1083"/>
      <c r="D25" s="1083"/>
      <c r="E25" s="1083"/>
      <c r="F25" s="1083"/>
      <c r="G25" s="1083"/>
      <c r="H25" s="1083"/>
      <c r="I25" s="1083"/>
      <c r="J25" s="1083"/>
      <c r="K25" s="1083"/>
      <c r="L25" s="1083"/>
      <c r="M25" s="1083"/>
      <c r="N25" s="1083"/>
      <c r="O25" s="806"/>
      <c r="P25" s="806"/>
      <c r="Q25" s="806"/>
      <c r="R25" s="806"/>
      <c r="S25" s="806"/>
    </row>
    <row r="26" spans="1:19" customFormat="1">
      <c r="A26" s="806"/>
      <c r="B26" s="1083"/>
      <c r="C26" s="1083"/>
      <c r="D26" s="1083"/>
      <c r="E26" s="1083"/>
      <c r="F26" s="1083"/>
      <c r="G26" s="1083"/>
      <c r="H26" s="1083"/>
      <c r="I26" s="1083"/>
      <c r="J26" s="1083"/>
      <c r="K26" s="1083"/>
      <c r="L26" s="1083"/>
      <c r="M26" s="1083"/>
      <c r="N26" s="1083"/>
      <c r="O26" s="806"/>
      <c r="P26" s="806"/>
      <c r="Q26" s="806"/>
      <c r="R26" s="806"/>
      <c r="S26" s="806"/>
    </row>
    <row r="27" spans="1:19" customFormat="1">
      <c r="A27" s="791"/>
      <c r="B27" s="762"/>
      <c r="C27" s="762"/>
      <c r="D27" s="762"/>
      <c r="E27" s="762"/>
      <c r="F27" s="762"/>
      <c r="G27" s="762"/>
      <c r="H27" s="762"/>
      <c r="I27" s="762"/>
      <c r="J27" s="762"/>
      <c r="K27" s="762"/>
      <c r="L27" s="762"/>
      <c r="M27" s="762"/>
      <c r="N27" s="762"/>
      <c r="O27" s="791"/>
      <c r="P27" s="791"/>
      <c r="Q27" s="791"/>
      <c r="R27" s="791"/>
      <c r="S27" s="791"/>
    </row>
    <row r="28" spans="1:19" customFormat="1">
      <c r="A28" s="791"/>
      <c r="B28" s="807" t="s">
        <v>2273</v>
      </c>
      <c r="C28" s="762"/>
      <c r="D28" s="762"/>
      <c r="E28" s="762"/>
      <c r="F28" s="795"/>
      <c r="G28" s="795"/>
      <c r="H28" s="795"/>
      <c r="I28" s="795"/>
      <c r="J28" s="795"/>
      <c r="K28" s="795"/>
      <c r="L28" s="795"/>
      <c r="M28" s="795"/>
      <c r="N28" s="762"/>
      <c r="O28" s="791"/>
      <c r="P28" s="791"/>
      <c r="Q28" s="791"/>
      <c r="R28" s="791"/>
      <c r="S28" s="791"/>
    </row>
    <row r="29" spans="1:19" customFormat="1">
      <c r="A29" s="792"/>
      <c r="B29" s="808"/>
      <c r="C29" s="808"/>
      <c r="D29" s="808"/>
      <c r="E29" s="808"/>
      <c r="F29" s="799"/>
      <c r="G29" s="799"/>
      <c r="H29" s="799"/>
      <c r="I29" s="799"/>
      <c r="J29" s="799"/>
      <c r="K29" s="799"/>
      <c r="L29" s="799"/>
      <c r="M29" s="799"/>
      <c r="N29" s="808"/>
      <c r="O29" s="792"/>
      <c r="P29" s="792"/>
      <c r="Q29" s="792"/>
      <c r="R29" s="792"/>
      <c r="S29" s="792"/>
    </row>
    <row r="30" spans="1:19" customFormat="1" ht="52.5" customHeight="1">
      <c r="A30" s="791"/>
      <c r="B30" s="1063" t="s">
        <v>2274</v>
      </c>
      <c r="C30" s="1063"/>
      <c r="D30" s="1063"/>
      <c r="E30" s="1063"/>
      <c r="F30" s="1063"/>
      <c r="G30" s="1063"/>
      <c r="H30" s="1063"/>
      <c r="I30" s="1063"/>
      <c r="J30" s="1063"/>
      <c r="K30" s="1063"/>
      <c r="L30" s="1063"/>
      <c r="M30" s="1063"/>
      <c r="N30" s="1063"/>
      <c r="O30" s="791"/>
      <c r="P30" s="791"/>
      <c r="Q30" s="791"/>
      <c r="R30" s="791"/>
      <c r="S30" s="791"/>
    </row>
    <row r="31" spans="1:19" customFormat="1">
      <c r="A31" s="800"/>
      <c r="B31" s="802"/>
      <c r="C31" s="802"/>
      <c r="D31" s="802"/>
      <c r="E31" s="802"/>
      <c r="F31" s="809"/>
      <c r="G31" s="809"/>
      <c r="H31" s="809"/>
      <c r="I31" s="809"/>
      <c r="J31" s="809"/>
      <c r="K31" s="809"/>
      <c r="L31" s="809"/>
      <c r="M31" s="809"/>
      <c r="N31" s="802"/>
      <c r="O31" s="800"/>
      <c r="P31" s="800"/>
      <c r="Q31" s="800"/>
      <c r="R31" s="800"/>
      <c r="S31" s="800"/>
    </row>
    <row r="32" spans="1:19" customFormat="1" ht="39.75" customHeight="1">
      <c r="A32" s="791"/>
      <c r="B32" s="1063" t="s">
        <v>2275</v>
      </c>
      <c r="C32" s="1063"/>
      <c r="D32" s="1063"/>
      <c r="E32" s="1063"/>
      <c r="F32" s="1063"/>
      <c r="G32" s="1063"/>
      <c r="H32" s="1063"/>
      <c r="I32" s="1063"/>
      <c r="J32" s="1063"/>
      <c r="K32" s="1063"/>
      <c r="L32" s="1063"/>
      <c r="M32" s="1063"/>
      <c r="N32" s="1063"/>
      <c r="O32" s="791"/>
      <c r="P32" s="791"/>
      <c r="Q32" s="791"/>
      <c r="R32" s="791"/>
      <c r="S32" s="791"/>
    </row>
    <row r="33" spans="1:19" customFormat="1">
      <c r="A33" s="801"/>
      <c r="B33" s="762"/>
      <c r="C33" s="762"/>
      <c r="D33" s="762"/>
      <c r="E33" s="762"/>
      <c r="F33" s="795"/>
      <c r="G33" s="795"/>
      <c r="H33" s="795"/>
      <c r="I33" s="795"/>
      <c r="J33" s="795"/>
      <c r="K33" s="795"/>
      <c r="L33" s="795"/>
      <c r="M33" s="795"/>
      <c r="N33" s="762"/>
      <c r="O33" s="801"/>
      <c r="P33" s="801"/>
      <c r="Q33" s="801"/>
      <c r="R33" s="801"/>
      <c r="S33" s="801"/>
    </row>
    <row r="34" spans="1:19" customFormat="1" ht="12.75" customHeight="1">
      <c r="A34" s="791"/>
      <c r="B34" s="1077" t="s">
        <v>2276</v>
      </c>
      <c r="C34" s="1077"/>
      <c r="D34" s="1077"/>
      <c r="E34" s="1077"/>
      <c r="F34" s="1077"/>
      <c r="G34" s="1077"/>
      <c r="H34" s="1077"/>
      <c r="I34" s="1077"/>
      <c r="J34" s="1077"/>
      <c r="K34" s="1077"/>
      <c r="L34" s="1077"/>
      <c r="M34" s="1077"/>
      <c r="N34" s="1077"/>
      <c r="O34" s="791"/>
      <c r="P34" s="791"/>
      <c r="Q34" s="791"/>
      <c r="R34" s="791"/>
      <c r="S34" s="791"/>
    </row>
    <row r="35" spans="1:19" customFormat="1">
      <c r="A35" s="792"/>
      <c r="B35" s="808"/>
      <c r="C35" s="808"/>
      <c r="D35" s="808"/>
      <c r="E35" s="808"/>
      <c r="F35" s="799"/>
      <c r="G35" s="799"/>
      <c r="H35" s="799"/>
      <c r="I35" s="799"/>
      <c r="J35" s="799"/>
      <c r="K35" s="799"/>
      <c r="L35" s="799"/>
      <c r="M35" s="799"/>
      <c r="N35" s="808"/>
      <c r="O35" s="792"/>
      <c r="P35" s="792"/>
      <c r="Q35" s="792"/>
      <c r="R35" s="792"/>
      <c r="S35" s="792"/>
    </row>
    <row r="36" spans="1:19" customFormat="1" ht="54" customHeight="1">
      <c r="A36" s="791"/>
      <c r="B36" s="1063" t="s">
        <v>2277</v>
      </c>
      <c r="C36" s="1063"/>
      <c r="D36" s="1063"/>
      <c r="E36" s="1063"/>
      <c r="F36" s="1063"/>
      <c r="G36" s="1063"/>
      <c r="H36" s="1063"/>
      <c r="I36" s="1063"/>
      <c r="J36" s="1063"/>
      <c r="K36" s="1063"/>
      <c r="L36" s="1063"/>
      <c r="M36" s="1063"/>
      <c r="N36" s="1063"/>
      <c r="O36" s="791"/>
      <c r="P36" s="791"/>
      <c r="Q36" s="791"/>
      <c r="R36" s="791"/>
      <c r="S36" s="791"/>
    </row>
    <row r="37" spans="1:19" customFormat="1">
      <c r="A37" s="791"/>
      <c r="B37" s="762"/>
      <c r="C37" s="762"/>
      <c r="D37" s="762"/>
      <c r="E37" s="762"/>
      <c r="F37" s="762"/>
      <c r="G37" s="762"/>
      <c r="H37" s="762"/>
      <c r="I37" s="762"/>
      <c r="J37" s="762"/>
      <c r="K37" s="762"/>
      <c r="L37" s="762"/>
      <c r="M37" s="762"/>
      <c r="N37" s="762"/>
      <c r="O37" s="791"/>
      <c r="P37" s="791"/>
      <c r="Q37" s="791"/>
      <c r="R37" s="791"/>
      <c r="S37" s="791"/>
    </row>
    <row r="38" spans="1:19" customFormat="1" ht="12.75" customHeight="1">
      <c r="A38" s="791"/>
      <c r="B38" s="1075" t="s">
        <v>2278</v>
      </c>
      <c r="C38" s="1075"/>
      <c r="D38" s="1075"/>
      <c r="E38" s="1075"/>
      <c r="F38" s="1075"/>
      <c r="G38" s="1075"/>
      <c r="H38" s="1075"/>
      <c r="I38" s="1075"/>
      <c r="J38" s="1075"/>
      <c r="K38" s="1075"/>
      <c r="L38" s="1075"/>
      <c r="M38" s="1075"/>
      <c r="N38" s="1075"/>
      <c r="O38" s="791"/>
      <c r="P38" s="791"/>
      <c r="Q38" s="791"/>
      <c r="R38" s="791"/>
      <c r="S38" s="791"/>
    </row>
    <row r="39" spans="1:19" customFormat="1">
      <c r="A39" s="792"/>
      <c r="B39" s="792"/>
      <c r="C39" s="792"/>
      <c r="D39" s="792"/>
      <c r="E39" s="792"/>
      <c r="F39" s="810"/>
      <c r="G39" s="810"/>
      <c r="H39" s="810"/>
      <c r="I39" s="810"/>
      <c r="J39" s="810"/>
      <c r="K39" s="810"/>
      <c r="L39" s="810"/>
      <c r="M39" s="810"/>
      <c r="N39" s="792"/>
      <c r="O39" s="792"/>
      <c r="P39" s="792"/>
      <c r="Q39" s="792"/>
      <c r="R39" s="792"/>
      <c r="S39" s="792"/>
    </row>
    <row r="40" spans="1:19" customFormat="1" ht="39.75" customHeight="1">
      <c r="A40" s="791"/>
      <c r="B40" s="1076" t="s">
        <v>2279</v>
      </c>
      <c r="C40" s="1076"/>
      <c r="D40" s="1076"/>
      <c r="E40" s="1076"/>
      <c r="F40" s="1076"/>
      <c r="G40" s="1076"/>
      <c r="H40" s="1076"/>
      <c r="I40" s="1076"/>
      <c r="J40" s="1076"/>
      <c r="K40" s="1076"/>
      <c r="L40" s="1076"/>
      <c r="M40" s="1076"/>
      <c r="N40" s="1076"/>
      <c r="O40" s="791"/>
      <c r="P40" s="791"/>
      <c r="Q40" s="791"/>
      <c r="R40" s="791"/>
      <c r="S40" s="791"/>
    </row>
    <row r="41" spans="1:19" customFormat="1">
      <c r="A41" s="800"/>
      <c r="B41" s="802"/>
      <c r="C41" s="802"/>
      <c r="D41" s="802"/>
      <c r="E41" s="802"/>
      <c r="F41" s="809"/>
      <c r="G41" s="809"/>
      <c r="H41" s="809"/>
      <c r="I41" s="809"/>
      <c r="J41" s="809"/>
      <c r="K41" s="809"/>
      <c r="L41" s="809"/>
      <c r="M41" s="809"/>
      <c r="N41" s="802"/>
      <c r="O41" s="800"/>
      <c r="P41" s="800"/>
      <c r="Q41" s="800"/>
      <c r="R41" s="800"/>
      <c r="S41" s="800"/>
    </row>
    <row r="42" spans="1:19" customFormat="1" ht="12.75" customHeight="1">
      <c r="A42" s="791"/>
      <c r="B42" s="1077" t="s">
        <v>2280</v>
      </c>
      <c r="C42" s="1077"/>
      <c r="D42" s="1077"/>
      <c r="E42" s="1077"/>
      <c r="F42" s="1077"/>
      <c r="G42" s="1077"/>
      <c r="H42" s="1077"/>
      <c r="I42" s="1077"/>
      <c r="J42" s="1077"/>
      <c r="K42" s="1077"/>
      <c r="L42" s="1077"/>
      <c r="M42" s="1077"/>
      <c r="N42" s="1077"/>
      <c r="O42" s="791"/>
      <c r="P42" s="791"/>
      <c r="Q42" s="791"/>
      <c r="R42" s="791"/>
      <c r="S42" s="791"/>
    </row>
    <row r="43" spans="1:19" customFormat="1">
      <c r="A43" s="792"/>
      <c r="B43" s="811"/>
      <c r="C43" s="811"/>
      <c r="D43" s="811"/>
      <c r="E43" s="811"/>
      <c r="F43" s="812"/>
      <c r="G43" s="812"/>
      <c r="H43" s="812"/>
      <c r="I43" s="812"/>
      <c r="J43" s="812"/>
      <c r="K43" s="812"/>
      <c r="L43" s="812"/>
      <c r="M43" s="812"/>
      <c r="N43" s="811"/>
      <c r="O43" s="792"/>
      <c r="P43" s="792"/>
      <c r="Q43" s="792"/>
      <c r="R43" s="792"/>
      <c r="S43" s="792"/>
    </row>
    <row r="44" spans="1:19" customFormat="1" ht="12.75" customHeight="1">
      <c r="A44" s="791"/>
      <c r="B44" s="1078" t="s">
        <v>2281</v>
      </c>
      <c r="C44" s="1078"/>
      <c r="D44" s="1078"/>
      <c r="E44" s="1078"/>
      <c r="F44" s="1078"/>
      <c r="G44" s="1078"/>
      <c r="H44" s="1078"/>
      <c r="I44" s="1078"/>
      <c r="J44" s="1078"/>
      <c r="K44" s="1078"/>
      <c r="L44" s="1078"/>
      <c r="M44" s="1078"/>
      <c r="N44" s="1078"/>
      <c r="O44" s="791"/>
      <c r="P44" s="791"/>
      <c r="Q44" s="791"/>
      <c r="R44" s="791"/>
      <c r="S44" s="791"/>
    </row>
    <row r="45" spans="1:19" customFormat="1">
      <c r="A45" s="791"/>
      <c r="B45" s="762"/>
      <c r="C45" s="762"/>
      <c r="D45" s="762"/>
      <c r="E45" s="762"/>
      <c r="F45" s="795"/>
      <c r="G45" s="795"/>
      <c r="H45" s="795"/>
      <c r="I45" s="795"/>
      <c r="J45" s="795"/>
      <c r="K45" s="795"/>
      <c r="L45" s="795"/>
      <c r="M45" s="795"/>
      <c r="N45" s="762"/>
      <c r="O45" s="791"/>
      <c r="P45" s="791"/>
      <c r="Q45" s="791"/>
      <c r="R45" s="791"/>
      <c r="S45" s="791"/>
    </row>
    <row r="46" spans="1:19" customFormat="1" ht="12.75" customHeight="1">
      <c r="A46" s="791"/>
      <c r="B46" s="1077" t="s">
        <v>2282</v>
      </c>
      <c r="C46" s="1077"/>
      <c r="D46" s="1077"/>
      <c r="E46" s="1077"/>
      <c r="F46" s="1077"/>
      <c r="G46" s="1077"/>
      <c r="H46" s="1077"/>
      <c r="I46" s="1077"/>
      <c r="J46" s="1077"/>
      <c r="K46" s="1077"/>
      <c r="L46" s="1077"/>
      <c r="M46" s="1077"/>
      <c r="N46" s="1077"/>
      <c r="O46" s="791"/>
      <c r="P46" s="791"/>
      <c r="Q46" s="791"/>
      <c r="R46" s="791"/>
      <c r="S46" s="791"/>
    </row>
    <row r="47" spans="1:19" customFormat="1">
      <c r="A47" s="800"/>
      <c r="B47" s="813"/>
      <c r="C47" s="813"/>
      <c r="D47" s="813"/>
      <c r="E47" s="813"/>
      <c r="F47" s="814"/>
      <c r="G47" s="814"/>
      <c r="H47" s="814"/>
      <c r="I47" s="814"/>
      <c r="J47" s="814"/>
      <c r="K47" s="814"/>
      <c r="L47" s="814"/>
      <c r="M47" s="814"/>
      <c r="N47" s="813"/>
      <c r="O47" s="800"/>
      <c r="P47" s="800"/>
      <c r="Q47" s="800"/>
      <c r="R47" s="800"/>
      <c r="S47" s="800"/>
    </row>
    <row r="48" spans="1:19" customFormat="1" ht="49.5" customHeight="1">
      <c r="A48" s="791"/>
      <c r="B48" s="1063" t="s">
        <v>2283</v>
      </c>
      <c r="C48" s="1063"/>
      <c r="D48" s="1063"/>
      <c r="E48" s="1063"/>
      <c r="F48" s="1063"/>
      <c r="G48" s="1063"/>
      <c r="H48" s="1063"/>
      <c r="I48" s="1063"/>
      <c r="J48" s="1063"/>
      <c r="K48" s="1063"/>
      <c r="L48" s="1063"/>
      <c r="M48" s="1063"/>
      <c r="N48" s="1063"/>
      <c r="O48" s="791"/>
      <c r="P48" s="791"/>
      <c r="Q48" s="791"/>
      <c r="R48" s="791"/>
      <c r="S48" s="791"/>
    </row>
    <row r="49" spans="1:19" customFormat="1" ht="21" customHeight="1">
      <c r="A49" s="815"/>
      <c r="B49" s="1077" t="s">
        <v>2284</v>
      </c>
      <c r="C49" s="1077"/>
      <c r="D49" s="1077"/>
      <c r="E49" s="1077"/>
      <c r="F49" s="1077"/>
      <c r="G49" s="1077"/>
      <c r="H49" s="1077"/>
      <c r="I49" s="1077"/>
      <c r="J49" s="1077"/>
      <c r="K49" s="1077"/>
      <c r="L49" s="1077"/>
      <c r="M49" s="1077"/>
      <c r="N49" s="816"/>
      <c r="O49" s="816"/>
      <c r="P49" s="816"/>
      <c r="Q49" s="816"/>
      <c r="R49" s="817"/>
      <c r="S49" s="817"/>
    </row>
    <row r="50" spans="1:19" customFormat="1">
      <c r="A50" s="815"/>
      <c r="B50" s="1077"/>
      <c r="C50" s="1077"/>
      <c r="D50" s="1077"/>
      <c r="E50" s="1077"/>
      <c r="F50" s="1077"/>
      <c r="G50" s="1077"/>
      <c r="H50" s="1077"/>
      <c r="I50" s="1077"/>
      <c r="J50" s="1077"/>
      <c r="K50" s="1077"/>
      <c r="L50" s="1077"/>
      <c r="M50" s="1077"/>
      <c r="N50" s="816"/>
      <c r="O50" s="816"/>
      <c r="P50" s="816"/>
      <c r="Q50" s="816"/>
      <c r="R50" s="817"/>
      <c r="S50" s="817"/>
    </row>
    <row r="51" spans="1:19" customFormat="1" ht="12.75" customHeight="1">
      <c r="A51" s="791"/>
      <c r="B51" s="1077" t="s">
        <v>2285</v>
      </c>
      <c r="C51" s="1077"/>
      <c r="D51" s="1077"/>
      <c r="E51" s="794"/>
      <c r="F51" s="795"/>
      <c r="G51" s="795"/>
      <c r="H51" s="795"/>
      <c r="I51" s="795"/>
      <c r="J51" s="795"/>
      <c r="K51" s="795"/>
      <c r="L51" s="795"/>
      <c r="M51" s="795"/>
      <c r="N51" s="794"/>
      <c r="O51" s="791"/>
      <c r="P51" s="791"/>
      <c r="Q51" s="791"/>
      <c r="R51" s="791"/>
      <c r="S51" s="791"/>
    </row>
    <row r="52" spans="1:19" customFormat="1">
      <c r="A52" s="800"/>
      <c r="B52" s="813"/>
      <c r="C52" s="813"/>
      <c r="D52" s="813"/>
      <c r="E52" s="818"/>
      <c r="F52" s="809"/>
      <c r="G52" s="809"/>
      <c r="H52" s="809"/>
      <c r="I52" s="809"/>
      <c r="J52" s="809"/>
      <c r="K52" s="809"/>
      <c r="L52" s="809"/>
      <c r="M52" s="809"/>
      <c r="N52" s="818"/>
      <c r="O52" s="800"/>
      <c r="P52" s="800"/>
      <c r="Q52" s="800"/>
      <c r="R52" s="800"/>
      <c r="S52" s="800"/>
    </row>
    <row r="53" spans="1:19" s="820" customFormat="1" ht="51.75" customHeight="1">
      <c r="A53" s="819"/>
      <c r="B53" s="1074" t="s">
        <v>2286</v>
      </c>
      <c r="C53" s="1074"/>
      <c r="D53" s="1074"/>
      <c r="E53" s="1074"/>
      <c r="F53" s="1074"/>
      <c r="G53" s="1074"/>
      <c r="H53" s="1074"/>
      <c r="I53" s="1074"/>
      <c r="J53" s="1074"/>
      <c r="K53" s="1074"/>
      <c r="L53" s="1074"/>
      <c r="M53" s="1074"/>
      <c r="N53" s="1074"/>
      <c r="O53" s="819"/>
      <c r="P53" s="819"/>
      <c r="Q53" s="819"/>
      <c r="R53" s="819"/>
      <c r="S53" s="819"/>
    </row>
    <row r="54" spans="1:19" s="820" customFormat="1" ht="29.25" customHeight="1">
      <c r="A54" s="819"/>
      <c r="B54" s="1074" t="s">
        <v>2287</v>
      </c>
      <c r="C54" s="1074"/>
      <c r="D54" s="1074"/>
      <c r="E54" s="1074"/>
      <c r="F54" s="1074"/>
      <c r="G54" s="1074"/>
      <c r="H54" s="1074"/>
      <c r="I54" s="1074"/>
      <c r="J54" s="1074"/>
      <c r="K54" s="1074"/>
      <c r="L54" s="1074"/>
      <c r="M54" s="1074"/>
      <c r="N54" s="1074"/>
      <c r="O54" s="819"/>
      <c r="P54" s="819"/>
      <c r="Q54" s="819"/>
      <c r="R54" s="819"/>
      <c r="S54" s="819"/>
    </row>
    <row r="55" spans="1:19" customFormat="1">
      <c r="A55" s="800"/>
      <c r="B55" s="821"/>
      <c r="C55" s="821"/>
      <c r="D55" s="821"/>
      <c r="E55" s="821"/>
      <c r="F55" s="822"/>
      <c r="G55" s="822"/>
      <c r="H55" s="822"/>
      <c r="I55" s="822"/>
      <c r="J55" s="822"/>
      <c r="K55" s="822"/>
      <c r="L55" s="822"/>
      <c r="M55" s="822"/>
      <c r="N55" s="821"/>
      <c r="O55" s="800"/>
      <c r="P55" s="800"/>
      <c r="Q55" s="800"/>
      <c r="R55" s="800"/>
      <c r="S55" s="800"/>
    </row>
    <row r="56" spans="1:19" customFormat="1" ht="54" customHeight="1">
      <c r="A56" s="791"/>
      <c r="B56" s="1074" t="s">
        <v>2288</v>
      </c>
      <c r="C56" s="1074"/>
      <c r="D56" s="1074"/>
      <c r="E56" s="1074"/>
      <c r="F56" s="1074"/>
      <c r="G56" s="1074"/>
      <c r="H56" s="1074"/>
      <c r="I56" s="1074"/>
      <c r="J56" s="1074"/>
      <c r="K56" s="1074"/>
      <c r="L56" s="1074"/>
      <c r="M56" s="1074"/>
      <c r="N56" s="1074"/>
      <c r="O56" s="791"/>
      <c r="P56" s="791"/>
      <c r="Q56" s="791"/>
      <c r="R56" s="791"/>
      <c r="S56" s="791"/>
    </row>
    <row r="57" spans="1:19" customFormat="1">
      <c r="A57" s="800"/>
      <c r="B57" s="821"/>
      <c r="C57" s="821"/>
      <c r="D57" s="821"/>
      <c r="E57" s="821"/>
      <c r="F57" s="822"/>
      <c r="G57" s="822"/>
      <c r="H57" s="822"/>
      <c r="I57" s="822"/>
      <c r="J57" s="822"/>
      <c r="K57" s="822"/>
      <c r="L57" s="822"/>
      <c r="M57" s="822"/>
      <c r="N57" s="821"/>
      <c r="O57" s="800"/>
      <c r="P57" s="800"/>
      <c r="Q57" s="800"/>
      <c r="R57" s="800"/>
      <c r="S57" s="800"/>
    </row>
    <row r="58" spans="1:19" customFormat="1" ht="12.75" customHeight="1">
      <c r="A58" s="800"/>
      <c r="B58" s="1064" t="s">
        <v>2289</v>
      </c>
      <c r="C58" s="1064"/>
      <c r="D58" s="1064"/>
      <c r="E58" s="1064"/>
      <c r="F58" s="1064"/>
      <c r="G58" s="1064"/>
      <c r="H58" s="1064"/>
      <c r="I58" s="1064"/>
      <c r="J58" s="1064"/>
      <c r="K58" s="1064"/>
      <c r="L58" s="1064"/>
      <c r="M58" s="1064"/>
      <c r="N58" s="1064"/>
      <c r="O58" s="800"/>
      <c r="P58" s="800"/>
      <c r="Q58" s="800"/>
      <c r="R58" s="800"/>
      <c r="S58" s="800"/>
    </row>
    <row r="59" spans="1:19" customFormat="1">
      <c r="A59" s="791"/>
      <c r="B59" s="823" t="s">
        <v>2290</v>
      </c>
      <c r="C59" s="791"/>
      <c r="D59" s="791"/>
      <c r="E59" s="791"/>
      <c r="F59" s="791"/>
      <c r="G59" s="791"/>
      <c r="H59" s="791"/>
      <c r="I59" s="791"/>
      <c r="J59" s="791"/>
      <c r="K59" s="791"/>
      <c r="L59" s="791"/>
      <c r="M59" s="791"/>
      <c r="N59" s="791"/>
      <c r="O59" s="791"/>
      <c r="P59" s="791"/>
      <c r="Q59" s="791"/>
      <c r="R59" s="791"/>
      <c r="S59" s="791"/>
    </row>
    <row r="60" spans="1:19" customFormat="1">
      <c r="A60" s="764"/>
      <c r="B60" s="723"/>
      <c r="C60" s="723"/>
      <c r="D60" s="723"/>
      <c r="E60" s="723"/>
      <c r="F60" s="824"/>
      <c r="G60" s="824"/>
      <c r="H60" s="824"/>
      <c r="I60" s="824"/>
      <c r="J60" s="824"/>
      <c r="K60" s="824"/>
      <c r="L60" s="824"/>
      <c r="M60" s="1065" t="s">
        <v>2291</v>
      </c>
      <c r="N60" s="1066"/>
      <c r="O60" s="723"/>
      <c r="P60" s="723"/>
      <c r="Q60" s="723"/>
      <c r="R60" s="723"/>
      <c r="S60" s="723"/>
    </row>
    <row r="61" spans="1:19" customFormat="1" ht="15.6">
      <c r="A61" s="825" t="s">
        <v>2292</v>
      </c>
      <c r="B61" s="1067" t="s">
        <v>2293</v>
      </c>
      <c r="C61" s="1068"/>
      <c r="D61" s="1068"/>
      <c r="E61" s="1068"/>
      <c r="F61" s="1068"/>
      <c r="G61" s="1068"/>
      <c r="H61" s="1068"/>
      <c r="I61" s="1069"/>
      <c r="J61" s="824"/>
      <c r="K61" s="826"/>
      <c r="L61" s="827"/>
      <c r="M61" s="828" t="s">
        <v>2294</v>
      </c>
      <c r="N61" s="829"/>
      <c r="O61" s="723"/>
      <c r="P61" s="723"/>
      <c r="Q61" s="723"/>
      <c r="R61" s="723"/>
      <c r="S61" s="723"/>
    </row>
    <row r="62" spans="1:19" customFormat="1" ht="28.8">
      <c r="A62" s="723"/>
      <c r="B62" s="830" t="s">
        <v>2295</v>
      </c>
      <c r="C62" s="713" t="s">
        <v>2296</v>
      </c>
      <c r="D62" s="751" t="s">
        <v>2297</v>
      </c>
      <c r="E62" s="751" t="s">
        <v>2298</v>
      </c>
      <c r="F62" s="751" t="s">
        <v>2299</v>
      </c>
      <c r="G62" s="751" t="s">
        <v>2300</v>
      </c>
      <c r="H62" s="751" t="s">
        <v>2301</v>
      </c>
      <c r="I62" s="751" t="s">
        <v>2302</v>
      </c>
      <c r="J62" s="824"/>
      <c r="K62" s="713" t="s">
        <v>2303</v>
      </c>
      <c r="L62" s="831" t="s">
        <v>2074</v>
      </c>
      <c r="M62" s="714" t="s">
        <v>2304</v>
      </c>
      <c r="N62" s="714" t="s">
        <v>2077</v>
      </c>
      <c r="O62" s="723"/>
      <c r="P62" s="723"/>
      <c r="Q62" s="723"/>
      <c r="R62" s="723"/>
      <c r="S62" s="723"/>
    </row>
    <row r="63" spans="1:19" customFormat="1">
      <c r="A63" s="832"/>
      <c r="B63" s="833" t="s">
        <v>2305</v>
      </c>
      <c r="C63" s="834" t="s">
        <v>2306</v>
      </c>
      <c r="D63" s="835">
        <v>0.65414056435678503</v>
      </c>
      <c r="E63" s="835">
        <v>1.1475087424092201</v>
      </c>
      <c r="F63" s="835">
        <v>1.4742877486903601</v>
      </c>
      <c r="G63" s="835">
        <v>1.0999832599798099E-2</v>
      </c>
      <c r="H63" s="836">
        <v>9.4874900473522104E-4</v>
      </c>
      <c r="I63" s="836">
        <v>7.1788561463986302E-4</v>
      </c>
      <c r="J63" s="837"/>
      <c r="K63" s="838"/>
      <c r="L63" s="839" t="s">
        <v>2074</v>
      </c>
      <c r="M63" s="840">
        <f t="shared" ref="M63:M126" si="0">D63+E63+F63+G63+H63+I63</f>
        <v>3.2886035226755381</v>
      </c>
      <c r="N63" s="841" t="str">
        <f t="shared" ref="N63:N126" si="1">IF(ISBLANK(K63),"",K63*M63)</f>
        <v/>
      </c>
      <c r="O63" s="832"/>
      <c r="P63" s="832"/>
      <c r="Q63" s="832"/>
      <c r="R63" s="832"/>
      <c r="S63" s="832"/>
    </row>
    <row r="64" spans="1:19" customFormat="1">
      <c r="A64" s="832"/>
      <c r="B64" s="833" t="s">
        <v>2307</v>
      </c>
      <c r="C64" s="834" t="s">
        <v>2308</v>
      </c>
      <c r="D64" s="835">
        <v>0.4558323293614</v>
      </c>
      <c r="E64" s="835">
        <v>4.2236733579508898E-2</v>
      </c>
      <c r="F64" s="835">
        <v>2.2522988387493101E-2</v>
      </c>
      <c r="G64" s="835">
        <v>3.2326074930088197E-2</v>
      </c>
      <c r="H64" s="836">
        <v>1.18016823544455E-3</v>
      </c>
      <c r="I64" s="836">
        <v>1.0458846140220001E-3</v>
      </c>
      <c r="J64" s="837"/>
      <c r="K64" s="838"/>
      <c r="L64" s="839" t="s">
        <v>2074</v>
      </c>
      <c r="M64" s="840">
        <f t="shared" si="0"/>
        <v>0.55514417910795677</v>
      </c>
      <c r="N64" s="841" t="str">
        <f t="shared" si="1"/>
        <v/>
      </c>
      <c r="O64" s="832"/>
      <c r="P64" s="832"/>
      <c r="Q64" s="832"/>
      <c r="R64" s="832"/>
      <c r="S64" s="832"/>
    </row>
    <row r="65" spans="1:19" customFormat="1">
      <c r="A65" s="832"/>
      <c r="B65" s="833" t="s">
        <v>2309</v>
      </c>
      <c r="C65" s="834" t="s">
        <v>2310</v>
      </c>
      <c r="D65" s="835">
        <v>1.09361599715715</v>
      </c>
      <c r="E65" s="835">
        <v>0.111038707076968</v>
      </c>
      <c r="F65" s="835">
        <v>4.2389706855767401E-2</v>
      </c>
      <c r="G65" s="835">
        <v>2.48806729485016E-2</v>
      </c>
      <c r="H65" s="836">
        <v>1.4028739968053E-3</v>
      </c>
      <c r="I65" s="836">
        <v>1.4871654293017299E-3</v>
      </c>
      <c r="J65" s="837"/>
      <c r="K65" s="838"/>
      <c r="L65" s="839" t="s">
        <v>2074</v>
      </c>
      <c r="M65" s="840">
        <f t="shared" si="0"/>
        <v>1.2748151234644942</v>
      </c>
      <c r="N65" s="841" t="str">
        <f>IF(ISBLANK(K65),"",K65*M65)</f>
        <v/>
      </c>
      <c r="O65" s="832"/>
      <c r="P65" s="832"/>
      <c r="Q65" s="832"/>
      <c r="R65" s="832"/>
      <c r="S65" s="832"/>
    </row>
    <row r="66" spans="1:19" customFormat="1">
      <c r="A66" s="832"/>
      <c r="B66" s="842">
        <v>10</v>
      </c>
      <c r="C66" s="843" t="s">
        <v>2311</v>
      </c>
      <c r="D66" s="844">
        <v>2.1529286202239701</v>
      </c>
      <c r="E66" s="844">
        <v>6.5194374750852102</v>
      </c>
      <c r="F66" s="844">
        <v>3.44516168529381E-2</v>
      </c>
      <c r="G66" s="844">
        <v>3.1361751322279502E-2</v>
      </c>
      <c r="H66" s="845">
        <v>2.9755098069695401E-3</v>
      </c>
      <c r="I66" s="845">
        <v>2.7342060116534702E-3</v>
      </c>
      <c r="J66" s="837"/>
      <c r="K66" s="838"/>
      <c r="L66" s="839" t="s">
        <v>2074</v>
      </c>
      <c r="M66" s="840">
        <f t="shared" si="0"/>
        <v>8.7438891793030198</v>
      </c>
      <c r="N66" s="841" t="str">
        <f t="shared" si="1"/>
        <v/>
      </c>
      <c r="O66" s="832"/>
      <c r="P66" s="832"/>
      <c r="Q66" s="832"/>
      <c r="R66" s="832"/>
      <c r="S66" s="832"/>
    </row>
    <row r="67" spans="1:19" customFormat="1">
      <c r="A67" s="832"/>
      <c r="B67" s="842">
        <v>11</v>
      </c>
      <c r="C67" s="843" t="s">
        <v>2312</v>
      </c>
      <c r="D67" s="844">
        <v>0.81163644162480497</v>
      </c>
      <c r="E67" s="844">
        <v>9.8763508382216397E-2</v>
      </c>
      <c r="F67" s="844">
        <v>1.4893448241526899E-2</v>
      </c>
      <c r="G67" s="844">
        <v>2.30555363221402E-3</v>
      </c>
      <c r="H67" s="846">
        <v>4.7812868601007001E-4</v>
      </c>
      <c r="I67" s="846">
        <v>4.9606449531985799E-4</v>
      </c>
      <c r="J67" s="837"/>
      <c r="K67" s="838"/>
      <c r="L67" s="839" t="s">
        <v>2074</v>
      </c>
      <c r="M67" s="840">
        <f t="shared" si="0"/>
        <v>0.92857314506209221</v>
      </c>
      <c r="N67" s="841" t="str">
        <f t="shared" si="1"/>
        <v/>
      </c>
      <c r="O67" s="832"/>
      <c r="P67" s="832"/>
      <c r="Q67" s="832"/>
      <c r="R67" s="832"/>
      <c r="S67" s="832"/>
    </row>
    <row r="68" spans="1:19" customFormat="1">
      <c r="A68" s="832"/>
      <c r="B68" s="842">
        <v>13</v>
      </c>
      <c r="C68" s="843" t="s">
        <v>2313</v>
      </c>
      <c r="D68" s="844">
        <v>1.1322744590632701</v>
      </c>
      <c r="E68" s="844">
        <v>0.105471371700988</v>
      </c>
      <c r="F68" s="844">
        <v>2.1044642731173499E-2</v>
      </c>
      <c r="G68" s="844">
        <v>9.44921086121755E-3</v>
      </c>
      <c r="H68" s="846">
        <v>1.30904154687768E-3</v>
      </c>
      <c r="I68" s="846">
        <v>1.36455000145206E-3</v>
      </c>
      <c r="J68" s="837"/>
      <c r="K68" s="838"/>
      <c r="L68" s="839" t="s">
        <v>2074</v>
      </c>
      <c r="M68" s="840">
        <f t="shared" si="0"/>
        <v>1.270913275904979</v>
      </c>
      <c r="N68" s="841" t="str">
        <f t="shared" si="1"/>
        <v/>
      </c>
      <c r="O68" s="832"/>
      <c r="P68" s="832"/>
      <c r="Q68" s="832"/>
      <c r="R68" s="832"/>
      <c r="S68" s="832"/>
    </row>
    <row r="69" spans="1:19" customFormat="1">
      <c r="A69" s="832"/>
      <c r="B69" s="842">
        <v>14</v>
      </c>
      <c r="C69" s="843" t="s">
        <v>2314</v>
      </c>
      <c r="D69" s="844">
        <v>1.21176838141966</v>
      </c>
      <c r="E69" s="844">
        <v>0.100604671323231</v>
      </c>
      <c r="F69" s="844">
        <v>3.0462504127163101E-2</v>
      </c>
      <c r="G69" s="844">
        <v>1.02474361740443E-2</v>
      </c>
      <c r="H69" s="846">
        <v>1.4564459198319699E-3</v>
      </c>
      <c r="I69" s="846">
        <v>1.3502625535331499E-3</v>
      </c>
      <c r="J69" s="837"/>
      <c r="K69" s="838"/>
      <c r="L69" s="839" t="s">
        <v>2074</v>
      </c>
      <c r="M69" s="840">
        <f t="shared" si="0"/>
        <v>1.3558897015174636</v>
      </c>
      <c r="N69" s="841" t="str">
        <f t="shared" si="1"/>
        <v/>
      </c>
      <c r="O69" s="832"/>
      <c r="P69" s="832"/>
      <c r="Q69" s="832"/>
      <c r="R69" s="832"/>
      <c r="S69" s="832"/>
    </row>
    <row r="70" spans="1:19" customFormat="1">
      <c r="A70" s="832"/>
      <c r="B70" s="842">
        <v>15</v>
      </c>
      <c r="C70" s="843" t="s">
        <v>2315</v>
      </c>
      <c r="D70" s="844">
        <v>0.54636767396597297</v>
      </c>
      <c r="E70" s="844">
        <v>0.37965546640072001</v>
      </c>
      <c r="F70" s="844">
        <v>0.29044310869464302</v>
      </c>
      <c r="G70" s="844">
        <v>7.9155532053912792E-3</v>
      </c>
      <c r="H70" s="846">
        <v>9.7799743247325294E-4</v>
      </c>
      <c r="I70" s="846">
        <v>9.0448924904605805E-4</v>
      </c>
      <c r="J70" s="837"/>
      <c r="K70" s="838"/>
      <c r="L70" s="839" t="s">
        <v>2074</v>
      </c>
      <c r="M70" s="840">
        <f t="shared" si="0"/>
        <v>1.2262642889482467</v>
      </c>
      <c r="N70" s="841" t="str">
        <f t="shared" si="1"/>
        <v/>
      </c>
      <c r="O70" s="832"/>
      <c r="P70" s="832"/>
      <c r="Q70" s="832"/>
      <c r="R70" s="832"/>
      <c r="S70" s="832"/>
    </row>
    <row r="71" spans="1:19" customFormat="1">
      <c r="A71" s="832"/>
      <c r="B71" s="842">
        <v>16</v>
      </c>
      <c r="C71" s="843" t="s">
        <v>2316</v>
      </c>
      <c r="D71" s="844">
        <v>7.3803032737890406E-2</v>
      </c>
      <c r="E71" s="844">
        <v>4.6178341516385502E-2</v>
      </c>
      <c r="F71" s="844">
        <v>4.0000070210530599E-2</v>
      </c>
      <c r="G71" s="844">
        <v>2.8842964416655801E-3</v>
      </c>
      <c r="H71" s="846">
        <v>2.0390571362801201E-4</v>
      </c>
      <c r="I71" s="846">
        <v>1.9199832798635501E-4</v>
      </c>
      <c r="J71" s="837"/>
      <c r="K71" s="838"/>
      <c r="L71" s="839" t="s">
        <v>2074</v>
      </c>
      <c r="M71" s="840">
        <f t="shared" si="0"/>
        <v>0.16326164494808645</v>
      </c>
      <c r="N71" s="841" t="str">
        <f t="shared" si="1"/>
        <v/>
      </c>
      <c r="O71" s="832"/>
      <c r="P71" s="832"/>
      <c r="Q71" s="832"/>
      <c r="R71" s="832"/>
      <c r="S71" s="832"/>
    </row>
    <row r="72" spans="1:19" customFormat="1">
      <c r="A72" s="832"/>
      <c r="B72" s="842">
        <v>17</v>
      </c>
      <c r="C72" s="843" t="s">
        <v>2317</v>
      </c>
      <c r="D72" s="844">
        <v>0.32919634274343901</v>
      </c>
      <c r="E72" s="844">
        <v>3.10073861042016E-2</v>
      </c>
      <c r="F72" s="844">
        <v>1.7538545194328199E-2</v>
      </c>
      <c r="G72" s="844">
        <v>5.9314474262674704E-3</v>
      </c>
      <c r="H72" s="846">
        <v>6.2374099888534598E-4</v>
      </c>
      <c r="I72" s="846">
        <v>5.1328132799636497E-4</v>
      </c>
      <c r="J72" s="837"/>
      <c r="K72" s="838"/>
      <c r="L72" s="839" t="s">
        <v>2074</v>
      </c>
      <c r="M72" s="840">
        <f t="shared" si="0"/>
        <v>0.38481074379511798</v>
      </c>
      <c r="N72" s="841" t="str">
        <f t="shared" si="1"/>
        <v/>
      </c>
      <c r="O72" s="832"/>
      <c r="P72" s="832"/>
      <c r="Q72" s="832"/>
      <c r="R72" s="832"/>
      <c r="S72" s="832"/>
    </row>
    <row r="73" spans="1:19" customFormat="1">
      <c r="A73" s="832"/>
      <c r="B73" s="842">
        <v>18</v>
      </c>
      <c r="C73" s="843" t="s">
        <v>2318</v>
      </c>
      <c r="D73" s="844">
        <v>0.25258571274167402</v>
      </c>
      <c r="E73" s="844">
        <v>3.6093645207189599E-2</v>
      </c>
      <c r="F73" s="844">
        <v>2.1409775730138799E-2</v>
      </c>
      <c r="G73" s="844">
        <v>6.2251998850836199E-3</v>
      </c>
      <c r="H73" s="846">
        <v>5.8946309985006E-4</v>
      </c>
      <c r="I73" s="846">
        <v>4.7170497624716501E-4</v>
      </c>
      <c r="J73" s="837"/>
      <c r="K73" s="838"/>
      <c r="L73" s="839" t="s">
        <v>2074</v>
      </c>
      <c r="M73" s="840">
        <f t="shared" si="0"/>
        <v>0.3173755016401833</v>
      </c>
      <c r="N73" s="841" t="str">
        <f t="shared" si="1"/>
        <v/>
      </c>
      <c r="O73" s="832"/>
      <c r="P73" s="832"/>
      <c r="Q73" s="832"/>
      <c r="R73" s="832"/>
      <c r="S73" s="832"/>
    </row>
    <row r="74" spans="1:19" customFormat="1">
      <c r="A74" s="832"/>
      <c r="B74" s="842">
        <v>19</v>
      </c>
      <c r="C74" s="843" t="s">
        <v>2319</v>
      </c>
      <c r="D74" s="844">
        <v>0.24929073550638101</v>
      </c>
      <c r="E74" s="844">
        <v>7.4015178799173298E-2</v>
      </c>
      <c r="F74" s="844">
        <v>5.0421793698610801E-2</v>
      </c>
      <c r="G74" s="844">
        <v>7.8602047875262395E-3</v>
      </c>
      <c r="H74" s="846">
        <v>3.5E-4</v>
      </c>
      <c r="I74" s="846">
        <v>1.9171765115904001E-4</v>
      </c>
      <c r="J74" s="837"/>
      <c r="K74" s="838"/>
      <c r="L74" s="839" t="s">
        <v>2074</v>
      </c>
      <c r="M74" s="840">
        <f t="shared" si="0"/>
        <v>0.38212963044285042</v>
      </c>
      <c r="N74" s="841" t="str">
        <f t="shared" si="1"/>
        <v/>
      </c>
      <c r="O74" s="832"/>
      <c r="P74" s="832"/>
      <c r="Q74" s="832"/>
      <c r="R74" s="832"/>
      <c r="S74" s="832"/>
    </row>
    <row r="75" spans="1:19" customFormat="1">
      <c r="A75" s="832"/>
      <c r="B75" s="842">
        <v>20</v>
      </c>
      <c r="C75" s="843" t="s">
        <v>2320</v>
      </c>
      <c r="D75" s="844">
        <v>0.87847372710705895</v>
      </c>
      <c r="E75" s="844">
        <v>6.0122486045942898E-2</v>
      </c>
      <c r="F75" s="844">
        <v>1.94017836383698E-2</v>
      </c>
      <c r="G75" s="844">
        <v>1.29782268130687E-2</v>
      </c>
      <c r="H75" s="845">
        <v>1.6827720194943401E-3</v>
      </c>
      <c r="I75" s="845">
        <v>1.62886468453678E-3</v>
      </c>
      <c r="J75" s="837"/>
      <c r="K75" s="838"/>
      <c r="L75" s="839" t="s">
        <v>2074</v>
      </c>
      <c r="M75" s="840">
        <f t="shared" si="0"/>
        <v>0.97428786030847148</v>
      </c>
      <c r="N75" s="841" t="str">
        <f t="shared" si="1"/>
        <v/>
      </c>
      <c r="O75" s="832"/>
      <c r="P75" s="832"/>
      <c r="Q75" s="832"/>
      <c r="R75" s="832"/>
      <c r="S75" s="832"/>
    </row>
    <row r="76" spans="1:19" customFormat="1">
      <c r="A76" s="832"/>
      <c r="B76" s="842">
        <v>21</v>
      </c>
      <c r="C76" s="843" t="s">
        <v>2321</v>
      </c>
      <c r="D76" s="844">
        <v>0.69478519950319995</v>
      </c>
      <c r="E76" s="844">
        <v>4.8653441468340199E-2</v>
      </c>
      <c r="F76" s="844">
        <v>1.5827611191083502E-2</v>
      </c>
      <c r="G76" s="844">
        <v>7.9054187581416996E-3</v>
      </c>
      <c r="H76" s="846">
        <v>7.9282788508582805E-4</v>
      </c>
      <c r="I76" s="846">
        <v>8.0370497283954799E-4</v>
      </c>
      <c r="J76" s="837"/>
      <c r="K76" s="838"/>
      <c r="L76" s="839" t="s">
        <v>2074</v>
      </c>
      <c r="M76" s="840">
        <f t="shared" si="0"/>
        <v>0.76876820377869071</v>
      </c>
      <c r="N76" s="841" t="str">
        <f t="shared" si="1"/>
        <v/>
      </c>
      <c r="O76" s="832"/>
      <c r="P76" s="832"/>
      <c r="Q76" s="832"/>
      <c r="R76" s="832"/>
      <c r="S76" s="832"/>
    </row>
    <row r="77" spans="1:19" customFormat="1">
      <c r="A77" s="832"/>
      <c r="B77" s="842">
        <v>22</v>
      </c>
      <c r="C77" s="843" t="s">
        <v>2322</v>
      </c>
      <c r="D77" s="844">
        <v>0.34890878557680099</v>
      </c>
      <c r="E77" s="844">
        <v>3.07372914555301E-2</v>
      </c>
      <c r="F77" s="844">
        <v>1.16953266621686E-2</v>
      </c>
      <c r="G77" s="844">
        <v>6.54030561671447E-3</v>
      </c>
      <c r="H77" s="846">
        <v>6.9748479167759799E-4</v>
      </c>
      <c r="I77" s="846">
        <v>6.3335691746220805E-4</v>
      </c>
      <c r="J77" s="837"/>
      <c r="K77" s="838"/>
      <c r="L77" s="839" t="s">
        <v>2074</v>
      </c>
      <c r="M77" s="840">
        <f t="shared" si="0"/>
        <v>0.39921255102035397</v>
      </c>
      <c r="N77" s="841" t="str">
        <f t="shared" si="1"/>
        <v/>
      </c>
      <c r="O77" s="847"/>
      <c r="P77" s="832"/>
      <c r="Q77" s="832"/>
      <c r="R77" s="832"/>
      <c r="S77" s="832"/>
    </row>
    <row r="78" spans="1:19" customFormat="1">
      <c r="A78" s="832"/>
      <c r="B78" s="842">
        <v>23</v>
      </c>
      <c r="C78" s="843" t="s">
        <v>2323</v>
      </c>
      <c r="D78" s="844">
        <v>0.96793627643299496</v>
      </c>
      <c r="E78" s="844">
        <v>0.18741879959275901</v>
      </c>
      <c r="F78" s="844">
        <v>1.2510772855836599E-2</v>
      </c>
      <c r="G78" s="844">
        <v>3.86284771994649E-3</v>
      </c>
      <c r="H78" s="846">
        <v>4.5384011303296602E-4</v>
      </c>
      <c r="I78" s="846">
        <v>4.3357274149614298E-4</v>
      </c>
      <c r="J78" s="837"/>
      <c r="K78" s="838"/>
      <c r="L78" s="839" t="s">
        <v>2074</v>
      </c>
      <c r="M78" s="840">
        <f t="shared" si="0"/>
        <v>1.1726161094560663</v>
      </c>
      <c r="N78" s="841" t="str">
        <f t="shared" si="1"/>
        <v/>
      </c>
      <c r="O78" s="848"/>
      <c r="P78" s="832"/>
      <c r="Q78" s="832"/>
      <c r="R78" s="832"/>
      <c r="S78" s="832"/>
    </row>
    <row r="79" spans="1:19" customFormat="1">
      <c r="A79" s="832"/>
      <c r="B79" s="842" t="s">
        <v>2324</v>
      </c>
      <c r="C79" s="843" t="s">
        <v>2325</v>
      </c>
      <c r="D79" s="844">
        <v>1.3856361509350601</v>
      </c>
      <c r="E79" s="844">
        <v>8.6618090372461098E-2</v>
      </c>
      <c r="F79" s="844">
        <v>3.3988682666518701E-2</v>
      </c>
      <c r="G79" s="844">
        <v>2.3917947748561801E-2</v>
      </c>
      <c r="H79" s="845">
        <v>3.0019648203417301E-3</v>
      </c>
      <c r="I79" s="845">
        <v>1.6134961729131301E-3</v>
      </c>
      <c r="J79" s="837"/>
      <c r="K79" s="838"/>
      <c r="L79" s="839" t="s">
        <v>2074</v>
      </c>
      <c r="M79" s="840">
        <f t="shared" si="0"/>
        <v>1.5347763327158566</v>
      </c>
      <c r="N79" s="841" t="str">
        <f t="shared" si="1"/>
        <v/>
      </c>
      <c r="O79" s="848"/>
      <c r="P79" s="832"/>
      <c r="Q79" s="832"/>
      <c r="R79" s="832"/>
      <c r="S79" s="832"/>
    </row>
    <row r="80" spans="1:19" customFormat="1">
      <c r="A80" s="832"/>
      <c r="B80" s="842">
        <v>24.13</v>
      </c>
      <c r="C80" s="843" t="s">
        <v>2326</v>
      </c>
      <c r="D80" s="844">
        <v>1.0624667716145999</v>
      </c>
      <c r="E80" s="844">
        <v>9.1421290630877103E-2</v>
      </c>
      <c r="F80" s="844">
        <v>3.4930484202060297E-2</v>
      </c>
      <c r="G80" s="844">
        <v>2.4075771735148101E-2</v>
      </c>
      <c r="H80" s="845">
        <v>4.1849569072986703E-3</v>
      </c>
      <c r="I80" s="845">
        <v>2.1035433030026402E-3</v>
      </c>
      <c r="J80" s="837"/>
      <c r="K80" s="838"/>
      <c r="L80" s="839" t="s">
        <v>2074</v>
      </c>
      <c r="M80" s="840">
        <f t="shared" si="0"/>
        <v>1.2191828183929867</v>
      </c>
      <c r="N80" s="841" t="str">
        <f t="shared" si="1"/>
        <v/>
      </c>
      <c r="O80" s="832"/>
      <c r="P80" s="832"/>
      <c r="Q80" s="832"/>
      <c r="R80" s="832"/>
      <c r="S80" s="832"/>
    </row>
    <row r="81" spans="1:19" customFormat="1">
      <c r="A81" s="832"/>
      <c r="B81" s="842">
        <v>24.14</v>
      </c>
      <c r="C81" s="843" t="s">
        <v>2327</v>
      </c>
      <c r="D81" s="844">
        <v>1.1059697952055501</v>
      </c>
      <c r="E81" s="844">
        <v>0.10499955235627199</v>
      </c>
      <c r="F81" s="844">
        <v>9.0204254055670494E-2</v>
      </c>
      <c r="G81" s="844">
        <v>6.0828649479345902E-2</v>
      </c>
      <c r="H81" s="845">
        <v>1.17502438716402E-2</v>
      </c>
      <c r="I81" s="845">
        <v>1.6544299750791301E-3</v>
      </c>
      <c r="J81" s="837"/>
      <c r="K81" s="838"/>
      <c r="L81" s="839" t="s">
        <v>2074</v>
      </c>
      <c r="M81" s="840">
        <f t="shared" si="0"/>
        <v>1.3754069249435577</v>
      </c>
      <c r="N81" s="841" t="str">
        <f t="shared" si="1"/>
        <v/>
      </c>
      <c r="O81" s="832"/>
      <c r="P81" s="832"/>
      <c r="Q81" s="832"/>
      <c r="R81" s="832"/>
      <c r="S81" s="832"/>
    </row>
    <row r="82" spans="1:19" customFormat="1">
      <c r="A82" s="832"/>
      <c r="B82" s="842">
        <v>24.15</v>
      </c>
      <c r="C82" s="843" t="s">
        <v>2328</v>
      </c>
      <c r="D82" s="844">
        <v>1.8900662162248401</v>
      </c>
      <c r="E82" s="844">
        <v>0.111485257906037</v>
      </c>
      <c r="F82" s="844">
        <v>1.7053033521055001</v>
      </c>
      <c r="G82" s="844">
        <v>3.4219894590909399E-2</v>
      </c>
      <c r="H82" s="845">
        <v>1.76638961827079E-3</v>
      </c>
      <c r="I82" s="846">
        <v>1.27941652562532E-3</v>
      </c>
      <c r="J82" s="837"/>
      <c r="K82" s="838"/>
      <c r="L82" s="839" t="s">
        <v>2074</v>
      </c>
      <c r="M82" s="840">
        <f t="shared" si="0"/>
        <v>3.7441205269711828</v>
      </c>
      <c r="N82" s="841" t="str">
        <f t="shared" si="1"/>
        <v/>
      </c>
      <c r="O82" s="832"/>
      <c r="P82" s="832"/>
      <c r="Q82" s="832"/>
      <c r="R82" s="832"/>
      <c r="S82" s="832"/>
    </row>
    <row r="83" spans="1:19" customFormat="1">
      <c r="A83" s="832"/>
      <c r="B83" s="842" t="s">
        <v>2329</v>
      </c>
      <c r="C83" s="843" t="s">
        <v>2330</v>
      </c>
      <c r="D83" s="844">
        <v>1.27997321897076</v>
      </c>
      <c r="E83" s="844">
        <v>0.108000987053435</v>
      </c>
      <c r="F83" s="844">
        <v>6.80871551406909E-2</v>
      </c>
      <c r="G83" s="844">
        <v>4.4551751748973897E-2</v>
      </c>
      <c r="H83" s="845">
        <v>6.8644024557082198E-3</v>
      </c>
      <c r="I83" s="845">
        <v>1.64637552191687E-3</v>
      </c>
      <c r="J83" s="837"/>
      <c r="K83" s="838"/>
      <c r="L83" s="839" t="s">
        <v>2074</v>
      </c>
      <c r="M83" s="840">
        <f t="shared" si="0"/>
        <v>1.5091238908914852</v>
      </c>
      <c r="N83" s="841" t="str">
        <f t="shared" si="1"/>
        <v/>
      </c>
      <c r="O83" s="832"/>
      <c r="P83" s="832"/>
      <c r="Q83" s="832"/>
      <c r="R83" s="832"/>
      <c r="S83" s="832"/>
    </row>
    <row r="84" spans="1:19" customFormat="1">
      <c r="A84" s="832"/>
      <c r="B84" s="842">
        <v>24.2</v>
      </c>
      <c r="C84" s="843" t="s">
        <v>2331</v>
      </c>
      <c r="D84" s="844">
        <v>0.93846969876146402</v>
      </c>
      <c r="E84" s="844">
        <v>9.3331306409080703E-2</v>
      </c>
      <c r="F84" s="844">
        <v>3.6973767834288601E-2</v>
      </c>
      <c r="G84" s="844">
        <v>4.08687244172748E-2</v>
      </c>
      <c r="H84" s="845">
        <v>4.7699131468833898E-3</v>
      </c>
      <c r="I84" s="845">
        <v>1.63102941996423E-3</v>
      </c>
      <c r="J84" s="837"/>
      <c r="K84" s="838"/>
      <c r="L84" s="839" t="s">
        <v>2074</v>
      </c>
      <c r="M84" s="840">
        <f t="shared" si="0"/>
        <v>1.1160444399889555</v>
      </c>
      <c r="N84" s="841" t="str">
        <f t="shared" si="1"/>
        <v/>
      </c>
      <c r="O84" s="832"/>
      <c r="P84" s="832"/>
      <c r="Q84" s="832"/>
      <c r="R84" s="832"/>
      <c r="S84" s="832"/>
    </row>
    <row r="85" spans="1:19" customFormat="1">
      <c r="A85" s="832"/>
      <c r="B85" s="842">
        <v>24.3</v>
      </c>
      <c r="C85" s="843" t="s">
        <v>2332</v>
      </c>
      <c r="D85" s="844">
        <v>0.52339666229147297</v>
      </c>
      <c r="E85" s="844">
        <v>4.9788086516790599E-2</v>
      </c>
      <c r="F85" s="844">
        <v>3.0844243173224699E-2</v>
      </c>
      <c r="G85" s="844">
        <v>2.2077835729633202E-2</v>
      </c>
      <c r="H85" s="845">
        <v>2.0817629868059499E-3</v>
      </c>
      <c r="I85" s="846">
        <v>9.2657729363005499E-4</v>
      </c>
      <c r="J85" s="837"/>
      <c r="K85" s="838"/>
      <c r="L85" s="839" t="s">
        <v>2074</v>
      </c>
      <c r="M85" s="840">
        <f t="shared" si="0"/>
        <v>0.62911516799155742</v>
      </c>
      <c r="N85" s="841" t="str">
        <f t="shared" si="1"/>
        <v/>
      </c>
      <c r="O85" s="832"/>
      <c r="P85" s="832"/>
      <c r="Q85" s="832"/>
      <c r="R85" s="832"/>
      <c r="S85" s="832"/>
    </row>
    <row r="86" spans="1:19" customFormat="1">
      <c r="A86" s="832"/>
      <c r="B86" s="842">
        <v>24.4</v>
      </c>
      <c r="C86" s="843" t="s">
        <v>2333</v>
      </c>
      <c r="D86" s="844">
        <v>0.48917770174836001</v>
      </c>
      <c r="E86" s="844">
        <v>4.6038316571113E-2</v>
      </c>
      <c r="F86" s="844">
        <v>2.7049116955149999E-2</v>
      </c>
      <c r="G86" s="844">
        <v>2.25993467141801E-2</v>
      </c>
      <c r="H86" s="845">
        <v>1.7063875036417899E-3</v>
      </c>
      <c r="I86" s="846">
        <v>9.3787608744192797E-4</v>
      </c>
      <c r="J86" s="837"/>
      <c r="K86" s="838"/>
      <c r="L86" s="839" t="s">
        <v>2074</v>
      </c>
      <c r="M86" s="840">
        <f t="shared" si="0"/>
        <v>0.58750874557988675</v>
      </c>
      <c r="N86" s="841" t="str">
        <f t="shared" si="1"/>
        <v/>
      </c>
      <c r="O86" s="832"/>
      <c r="P86" s="832"/>
      <c r="Q86" s="832"/>
      <c r="R86" s="832"/>
      <c r="S86" s="832"/>
    </row>
    <row r="87" spans="1:19" customFormat="1">
      <c r="A87" s="832"/>
      <c r="B87" s="842">
        <v>24.5</v>
      </c>
      <c r="C87" s="843" t="s">
        <v>2334</v>
      </c>
      <c r="D87" s="844">
        <v>0.33652079798325502</v>
      </c>
      <c r="E87" s="844">
        <v>3.1397820730224298E-2</v>
      </c>
      <c r="F87" s="844">
        <v>1.8494645563778601E-2</v>
      </c>
      <c r="G87" s="844">
        <v>1.34816942702516E-2</v>
      </c>
      <c r="H87" s="846">
        <v>1.46804276026788E-3</v>
      </c>
      <c r="I87" s="846">
        <v>6.4419055533702202E-4</v>
      </c>
      <c r="J87" s="837"/>
      <c r="K87" s="838"/>
      <c r="L87" s="839" t="s">
        <v>2074</v>
      </c>
      <c r="M87" s="840">
        <f t="shared" si="0"/>
        <v>0.40200719186311445</v>
      </c>
      <c r="N87" s="841" t="str">
        <f t="shared" si="1"/>
        <v/>
      </c>
      <c r="O87" s="832"/>
      <c r="P87" s="832"/>
      <c r="Q87" s="832"/>
      <c r="R87" s="832"/>
      <c r="S87" s="832"/>
    </row>
    <row r="88" spans="1:19" customFormat="1">
      <c r="A88" s="832"/>
      <c r="B88" s="842">
        <v>24.6</v>
      </c>
      <c r="C88" s="843" t="s">
        <v>2335</v>
      </c>
      <c r="D88" s="844">
        <v>0.79967157823440504</v>
      </c>
      <c r="E88" s="844">
        <v>7.2971904645642294E-2</v>
      </c>
      <c r="F88" s="844">
        <v>4.7898295729688803E-2</v>
      </c>
      <c r="G88" s="844">
        <v>3.3900774901685297E-2</v>
      </c>
      <c r="H88" s="845">
        <v>5.1198112171686998E-3</v>
      </c>
      <c r="I88" s="845">
        <v>2.1835009985658699E-3</v>
      </c>
      <c r="J88" s="837"/>
      <c r="K88" s="838"/>
      <c r="L88" s="839" t="s">
        <v>2074</v>
      </c>
      <c r="M88" s="840">
        <f t="shared" si="0"/>
        <v>0.96174586572715604</v>
      </c>
      <c r="N88" s="841" t="str">
        <f t="shared" si="1"/>
        <v/>
      </c>
      <c r="O88" s="832"/>
      <c r="P88" s="832"/>
      <c r="Q88" s="832"/>
      <c r="R88" s="832"/>
      <c r="S88" s="832"/>
    </row>
    <row r="89" spans="1:19" customFormat="1">
      <c r="A89" s="832"/>
      <c r="B89" s="842">
        <v>24.7</v>
      </c>
      <c r="C89" s="843" t="s">
        <v>2336</v>
      </c>
      <c r="D89" s="844">
        <v>1.80079852160526</v>
      </c>
      <c r="E89" s="844">
        <v>0.13208288796172199</v>
      </c>
      <c r="F89" s="844">
        <v>6.7252189256147496E-2</v>
      </c>
      <c r="G89" s="844">
        <v>5.99080303527601E-2</v>
      </c>
      <c r="H89" s="845">
        <v>4.2602678282430001E-3</v>
      </c>
      <c r="I89" s="845">
        <v>1.71725795095957E-3</v>
      </c>
      <c r="J89" s="837"/>
      <c r="K89" s="838"/>
      <c r="L89" s="839" t="s">
        <v>2074</v>
      </c>
      <c r="M89" s="840">
        <f t="shared" si="0"/>
        <v>2.0660191549550917</v>
      </c>
      <c r="N89" s="841" t="str">
        <f t="shared" si="1"/>
        <v/>
      </c>
      <c r="O89" s="832"/>
      <c r="P89" s="832"/>
      <c r="Q89" s="832"/>
      <c r="R89" s="832"/>
      <c r="S89" s="832"/>
    </row>
    <row r="90" spans="1:19" customFormat="1">
      <c r="A90" s="832"/>
      <c r="B90" s="842">
        <v>25.1</v>
      </c>
      <c r="C90" s="843" t="s">
        <v>2337</v>
      </c>
      <c r="D90" s="844">
        <v>0.804983733835133</v>
      </c>
      <c r="E90" s="844">
        <v>5.4640586541844699E-2</v>
      </c>
      <c r="F90" s="844">
        <v>2.97037094294915E-2</v>
      </c>
      <c r="G90" s="844">
        <v>2.70914945913447E-2</v>
      </c>
      <c r="H90" s="845">
        <v>2.2085915551427501E-3</v>
      </c>
      <c r="I90" s="845">
        <v>1.8148646547862001E-3</v>
      </c>
      <c r="J90" s="837"/>
      <c r="K90" s="838"/>
      <c r="L90" s="839" t="s">
        <v>2074</v>
      </c>
      <c r="M90" s="840">
        <f t="shared" si="0"/>
        <v>0.92044298060774288</v>
      </c>
      <c r="N90" s="841" t="str">
        <f t="shared" si="1"/>
        <v/>
      </c>
      <c r="O90" s="832"/>
      <c r="P90" s="832"/>
      <c r="Q90" s="832"/>
      <c r="R90" s="832"/>
      <c r="S90" s="832"/>
    </row>
    <row r="91" spans="1:19" customFormat="1">
      <c r="A91" s="832"/>
      <c r="B91" s="842">
        <v>25.2</v>
      </c>
      <c r="C91" s="843" t="s">
        <v>2338</v>
      </c>
      <c r="D91" s="844">
        <v>1.0011564068440399</v>
      </c>
      <c r="E91" s="844">
        <v>6.7669312556787695E-2</v>
      </c>
      <c r="F91" s="844">
        <v>3.62212450740955E-2</v>
      </c>
      <c r="G91" s="844">
        <v>5.0436717016891702E-2</v>
      </c>
      <c r="H91" s="845">
        <v>2.7835805417190901E-3</v>
      </c>
      <c r="I91" s="845">
        <v>2.2621236562414102E-3</v>
      </c>
      <c r="J91" s="837"/>
      <c r="K91" s="838"/>
      <c r="L91" s="839" t="s">
        <v>2074</v>
      </c>
      <c r="M91" s="840">
        <f t="shared" si="0"/>
        <v>1.1605293856897756</v>
      </c>
      <c r="N91" s="841" t="str">
        <f t="shared" si="1"/>
        <v/>
      </c>
      <c r="O91" s="832"/>
      <c r="P91" s="832"/>
      <c r="Q91" s="832"/>
      <c r="R91" s="832"/>
      <c r="S91" s="832"/>
    </row>
    <row r="92" spans="1:19" customFormat="1">
      <c r="A92" s="832"/>
      <c r="B92" s="842">
        <v>26.1</v>
      </c>
      <c r="C92" s="843" t="s">
        <v>2339</v>
      </c>
      <c r="D92" s="844">
        <v>1.1801238034703501</v>
      </c>
      <c r="E92" s="844">
        <v>6.3794458351415298E-2</v>
      </c>
      <c r="F92" s="844">
        <v>1.7649145121743998E-2</v>
      </c>
      <c r="G92" s="844">
        <v>1.1933106154010199E-2</v>
      </c>
      <c r="H92" s="845">
        <v>1.57520617286016E-3</v>
      </c>
      <c r="I92" s="845">
        <v>1.6876513980364099E-3</v>
      </c>
      <c r="J92" s="837"/>
      <c r="K92" s="838"/>
      <c r="L92" s="839" t="s">
        <v>2074</v>
      </c>
      <c r="M92" s="840">
        <f t="shared" si="0"/>
        <v>1.2767633706684163</v>
      </c>
      <c r="N92" s="841" t="str">
        <f t="shared" si="1"/>
        <v/>
      </c>
      <c r="O92" s="832"/>
      <c r="P92" s="832"/>
      <c r="Q92" s="832"/>
      <c r="R92" s="832"/>
      <c r="S92" s="832"/>
    </row>
    <row r="93" spans="1:19" customFormat="1">
      <c r="A93" s="832"/>
      <c r="B93" s="842" t="s">
        <v>2340</v>
      </c>
      <c r="C93" s="843" t="s">
        <v>2341</v>
      </c>
      <c r="D93" s="844">
        <v>0.636968793039703</v>
      </c>
      <c r="E93" s="844">
        <v>4.2747410159580203E-2</v>
      </c>
      <c r="F93" s="844">
        <v>1.4259230054029201E-2</v>
      </c>
      <c r="G93" s="844">
        <v>1.13727907415629E-2</v>
      </c>
      <c r="H93" s="845">
        <v>1.7404331496260999E-3</v>
      </c>
      <c r="I93" s="845">
        <v>1.9321707182818799E-3</v>
      </c>
      <c r="J93" s="837"/>
      <c r="K93" s="838"/>
      <c r="L93" s="839" t="s">
        <v>2074</v>
      </c>
      <c r="M93" s="840">
        <f t="shared" si="0"/>
        <v>0.70902082786278331</v>
      </c>
      <c r="N93" s="841" t="str">
        <f t="shared" si="1"/>
        <v/>
      </c>
      <c r="O93" s="832"/>
      <c r="P93" s="832"/>
      <c r="Q93" s="832"/>
      <c r="R93" s="832"/>
      <c r="S93" s="832"/>
    </row>
    <row r="94" spans="1:19" customFormat="1">
      <c r="A94" s="832"/>
      <c r="B94" s="842">
        <v>26.4</v>
      </c>
      <c r="C94" s="843" t="s">
        <v>2342</v>
      </c>
      <c r="D94" s="844">
        <v>1.1193943546077101</v>
      </c>
      <c r="E94" s="844">
        <v>8.2340612607566199E-2</v>
      </c>
      <c r="F94" s="844">
        <v>1.11659254816425E-2</v>
      </c>
      <c r="G94" s="844">
        <v>1.6100529542237899E-2</v>
      </c>
      <c r="H94" s="846">
        <v>6.8376755532098597E-4</v>
      </c>
      <c r="I94" s="846">
        <v>9.1948677986490395E-4</v>
      </c>
      <c r="J94" s="837"/>
      <c r="K94" s="838"/>
      <c r="L94" s="839" t="s">
        <v>2074</v>
      </c>
      <c r="M94" s="840">
        <f t="shared" si="0"/>
        <v>1.2306046765743428</v>
      </c>
      <c r="N94" s="841" t="str">
        <f t="shared" si="1"/>
        <v/>
      </c>
      <c r="O94" s="832"/>
      <c r="P94" s="832"/>
      <c r="Q94" s="832"/>
      <c r="R94" s="832"/>
      <c r="S94" s="832"/>
    </row>
    <row r="95" spans="1:19" customFormat="1">
      <c r="A95" s="832"/>
      <c r="B95" s="842">
        <v>26.5</v>
      </c>
      <c r="C95" s="843" t="s">
        <v>2343</v>
      </c>
      <c r="D95" s="844">
        <v>6.2094468370587297</v>
      </c>
      <c r="E95" s="844">
        <v>0.78661513231070201</v>
      </c>
      <c r="F95" s="844">
        <v>4.5934839729751299E-2</v>
      </c>
      <c r="G95" s="844">
        <v>1.46922176891107E-2</v>
      </c>
      <c r="H95" s="846">
        <v>1.1103580530520899E-3</v>
      </c>
      <c r="I95" s="845">
        <v>1.5169041151774101E-3</v>
      </c>
      <c r="J95" s="837"/>
      <c r="K95" s="838"/>
      <c r="L95" s="839" t="s">
        <v>2074</v>
      </c>
      <c r="M95" s="840">
        <f t="shared" si="0"/>
        <v>7.0593162889565226</v>
      </c>
      <c r="N95" s="841" t="str">
        <f t="shared" si="1"/>
        <v/>
      </c>
      <c r="O95" s="832"/>
      <c r="P95" s="832"/>
      <c r="Q95" s="832"/>
      <c r="R95" s="832"/>
      <c r="S95" s="832"/>
    </row>
    <row r="96" spans="1:19" customFormat="1">
      <c r="A96" s="832"/>
      <c r="B96" s="842" t="s">
        <v>2344</v>
      </c>
      <c r="C96" s="843" t="s">
        <v>2345</v>
      </c>
      <c r="D96" s="844">
        <v>1.4024824551725701</v>
      </c>
      <c r="E96" s="844">
        <v>0.128962213367637</v>
      </c>
      <c r="F96" s="844">
        <v>2.5691873209094902E-2</v>
      </c>
      <c r="G96" s="844">
        <v>1.19788094927028E-2</v>
      </c>
      <c r="H96" s="845">
        <v>1.6587826131454399E-3</v>
      </c>
      <c r="I96" s="845">
        <v>1.7233422384823299E-3</v>
      </c>
      <c r="J96" s="837"/>
      <c r="K96" s="838"/>
      <c r="L96" s="839" t="s">
        <v>2074</v>
      </c>
      <c r="M96" s="840">
        <f t="shared" si="0"/>
        <v>1.5724974760936323</v>
      </c>
      <c r="N96" s="841" t="str">
        <f t="shared" si="1"/>
        <v/>
      </c>
      <c r="O96" s="832"/>
      <c r="P96" s="832"/>
      <c r="Q96" s="832"/>
      <c r="R96" s="832"/>
      <c r="S96" s="832"/>
    </row>
    <row r="97" spans="1:19" customFormat="1">
      <c r="A97" s="832"/>
      <c r="B97" s="842" t="s">
        <v>2346</v>
      </c>
      <c r="C97" s="843" t="s">
        <v>2347</v>
      </c>
      <c r="D97" s="844">
        <v>3.2744419463480301</v>
      </c>
      <c r="E97" s="844">
        <v>0.105257360206179</v>
      </c>
      <c r="F97" s="844">
        <v>3.26582151443481E-2</v>
      </c>
      <c r="G97" s="844">
        <v>1.27482831780962E-2</v>
      </c>
      <c r="H97" s="845">
        <v>6.02735028612703E-3</v>
      </c>
      <c r="I97" s="845">
        <v>6.6862433549297997E-3</v>
      </c>
      <c r="J97" s="837"/>
      <c r="K97" s="838"/>
      <c r="L97" s="839" t="s">
        <v>2074</v>
      </c>
      <c r="M97" s="840">
        <f t="shared" si="0"/>
        <v>3.4378193985177106</v>
      </c>
      <c r="N97" s="841" t="str">
        <f t="shared" si="1"/>
        <v/>
      </c>
      <c r="O97" s="832"/>
      <c r="P97" s="832"/>
      <c r="Q97" s="832"/>
      <c r="R97" s="832"/>
      <c r="S97" s="832"/>
    </row>
    <row r="98" spans="1:19" customFormat="1">
      <c r="A98" s="832"/>
      <c r="B98" s="842">
        <v>27.4</v>
      </c>
      <c r="C98" s="843" t="s">
        <v>2348</v>
      </c>
      <c r="D98" s="844">
        <v>2.2093390609810402</v>
      </c>
      <c r="E98" s="844">
        <v>9.3235560726612904E-2</v>
      </c>
      <c r="F98" s="844">
        <v>3.6072305497941E-2</v>
      </c>
      <c r="G98" s="844">
        <v>2.88102902867306E-2</v>
      </c>
      <c r="H98" s="845">
        <v>5.8262482898797097E-2</v>
      </c>
      <c r="I98" s="845">
        <v>6.15823042414591E-2</v>
      </c>
      <c r="J98" s="837"/>
      <c r="K98" s="838"/>
      <c r="L98" s="839" t="s">
        <v>2074</v>
      </c>
      <c r="M98" s="840">
        <f t="shared" si="0"/>
        <v>2.4873020046325811</v>
      </c>
      <c r="N98" s="841" t="str">
        <f t="shared" si="1"/>
        <v/>
      </c>
      <c r="O98" s="832"/>
      <c r="P98" s="832"/>
      <c r="Q98" s="832"/>
      <c r="R98" s="832"/>
      <c r="S98" s="832"/>
    </row>
    <row r="99" spans="1:19" customFormat="1">
      <c r="A99" s="832"/>
      <c r="B99" s="842">
        <v>27.5</v>
      </c>
      <c r="C99" s="843" t="s">
        <v>2349</v>
      </c>
      <c r="D99" s="844">
        <v>1.3755063017668101</v>
      </c>
      <c r="E99" s="844">
        <v>7.5146445898095701E-2</v>
      </c>
      <c r="F99" s="844">
        <v>2.14888157111035E-2</v>
      </c>
      <c r="G99" s="844">
        <v>2.1647425824746699E-2</v>
      </c>
      <c r="H99" s="845">
        <v>1.5334922151983999E-2</v>
      </c>
      <c r="I99" s="845">
        <v>3.6452844167081701E-2</v>
      </c>
      <c r="J99" s="837"/>
      <c r="K99" s="838"/>
      <c r="L99" s="839" t="s">
        <v>2074</v>
      </c>
      <c r="M99" s="840">
        <f t="shared" si="0"/>
        <v>1.5455767555198219</v>
      </c>
      <c r="N99" s="841" t="str">
        <f t="shared" si="1"/>
        <v/>
      </c>
      <c r="O99" s="832"/>
      <c r="P99" s="832"/>
      <c r="Q99" s="832"/>
      <c r="R99" s="832"/>
      <c r="S99" s="832"/>
    </row>
    <row r="100" spans="1:19" customFormat="1">
      <c r="A100" s="832"/>
      <c r="B100" s="842">
        <v>28</v>
      </c>
      <c r="C100" s="843" t="s">
        <v>2350</v>
      </c>
      <c r="D100" s="844">
        <v>1.21235190908176</v>
      </c>
      <c r="E100" s="844">
        <v>5.7570684390864497E-2</v>
      </c>
      <c r="F100" s="844">
        <v>1.7707626378581601E-2</v>
      </c>
      <c r="G100" s="844">
        <v>1.1598578365205101E-2</v>
      </c>
      <c r="H100" s="845">
        <v>8.8319398659701901E-3</v>
      </c>
      <c r="I100" s="845">
        <v>9.3450029694410706E-3</v>
      </c>
      <c r="J100" s="837"/>
      <c r="K100" s="838"/>
      <c r="L100" s="839" t="s">
        <v>2074</v>
      </c>
      <c r="M100" s="840">
        <f t="shared" si="0"/>
        <v>1.3174057410518225</v>
      </c>
      <c r="N100" s="841" t="str">
        <f t="shared" si="1"/>
        <v/>
      </c>
      <c r="O100" s="832"/>
      <c r="P100" s="832"/>
      <c r="Q100" s="832"/>
      <c r="R100" s="832"/>
      <c r="S100" s="832"/>
    </row>
    <row r="101" spans="1:19" customFormat="1">
      <c r="A101" s="832"/>
      <c r="B101" s="842">
        <v>29</v>
      </c>
      <c r="C101" s="843" t="s">
        <v>2351</v>
      </c>
      <c r="D101" s="844">
        <v>0.72768467844381401</v>
      </c>
      <c r="E101" s="844">
        <v>4.4458877123152003E-2</v>
      </c>
      <c r="F101" s="844">
        <v>1.5450832294497899E-2</v>
      </c>
      <c r="G101" s="844">
        <v>1.3764675028949E-2</v>
      </c>
      <c r="H101" s="845">
        <v>6.1910992843012798E-3</v>
      </c>
      <c r="I101" s="845">
        <v>6.3438965861747701E-3</v>
      </c>
      <c r="J101" s="837"/>
      <c r="K101" s="838"/>
      <c r="L101" s="839" t="s">
        <v>2074</v>
      </c>
      <c r="M101" s="840">
        <f t="shared" si="0"/>
        <v>0.81389405876088894</v>
      </c>
      <c r="N101" s="841" t="str">
        <f t="shared" si="1"/>
        <v/>
      </c>
      <c r="O101" s="832"/>
      <c r="P101" s="832"/>
      <c r="Q101" s="832"/>
      <c r="R101" s="832"/>
      <c r="S101" s="832"/>
    </row>
    <row r="102" spans="1:19" customFormat="1">
      <c r="A102" s="832"/>
      <c r="B102" s="842">
        <v>30</v>
      </c>
      <c r="C102" s="843" t="s">
        <v>2352</v>
      </c>
      <c r="D102" s="844">
        <v>0.63168882725962405</v>
      </c>
      <c r="E102" s="844">
        <v>4.73422840005732E-2</v>
      </c>
      <c r="F102" s="844">
        <v>1.9064472914069298E-2</v>
      </c>
      <c r="G102" s="844">
        <v>4.2686317344190997E-2</v>
      </c>
      <c r="H102" s="845">
        <v>9.4071266213323797E-3</v>
      </c>
      <c r="I102" s="845">
        <v>5.1368171208461804E-3</v>
      </c>
      <c r="J102" s="837"/>
      <c r="K102" s="838"/>
      <c r="L102" s="839" t="s">
        <v>2074</v>
      </c>
      <c r="M102" s="840">
        <f t="shared" si="0"/>
        <v>0.75532584526063606</v>
      </c>
      <c r="N102" s="841" t="str">
        <f t="shared" si="1"/>
        <v/>
      </c>
      <c r="O102" s="832"/>
      <c r="P102" s="832"/>
      <c r="Q102" s="832"/>
      <c r="R102" s="832"/>
      <c r="S102" s="832"/>
    </row>
    <row r="103" spans="1:19" customFormat="1">
      <c r="A103" s="832"/>
      <c r="B103" s="842">
        <v>31</v>
      </c>
      <c r="C103" s="843" t="s">
        <v>2353</v>
      </c>
      <c r="D103" s="844">
        <v>0.75035647079638201</v>
      </c>
      <c r="E103" s="844">
        <v>4.9064551250824803E-2</v>
      </c>
      <c r="F103" s="844">
        <v>1.77476652386972E-2</v>
      </c>
      <c r="G103" s="844">
        <v>2.80756683149882E-2</v>
      </c>
      <c r="H103" s="845">
        <v>1.00502730605074E-2</v>
      </c>
      <c r="I103" s="845">
        <v>1.4715671252151801E-2</v>
      </c>
      <c r="J103" s="837"/>
      <c r="K103" s="838"/>
      <c r="L103" s="839" t="s">
        <v>2074</v>
      </c>
      <c r="M103" s="840">
        <f t="shared" si="0"/>
        <v>0.87001029991355139</v>
      </c>
      <c r="N103" s="841" t="str">
        <f t="shared" si="1"/>
        <v/>
      </c>
      <c r="O103" s="832"/>
      <c r="P103" s="832"/>
      <c r="Q103" s="832"/>
      <c r="R103" s="832"/>
      <c r="S103" s="832"/>
    </row>
    <row r="104" spans="1:19" customFormat="1">
      <c r="A104" s="832"/>
      <c r="B104" s="842">
        <v>32</v>
      </c>
      <c r="C104" s="843" t="s">
        <v>2354</v>
      </c>
      <c r="D104" s="844">
        <v>0.36662629146646802</v>
      </c>
      <c r="E104" s="844">
        <v>3.0527765123169799E-2</v>
      </c>
      <c r="F104" s="844">
        <v>1.2149663064857E-2</v>
      </c>
      <c r="G104" s="844">
        <v>3.7679708667598198E-2</v>
      </c>
      <c r="H104" s="845">
        <v>6.4116721930367101E-3</v>
      </c>
      <c r="I104" s="845">
        <v>2.9514619356235802E-3</v>
      </c>
      <c r="J104" s="837"/>
      <c r="K104" s="838"/>
      <c r="L104" s="839" t="s">
        <v>2074</v>
      </c>
      <c r="M104" s="840">
        <f t="shared" si="0"/>
        <v>0.45634656245075328</v>
      </c>
      <c r="N104" s="841" t="str">
        <f t="shared" si="1"/>
        <v/>
      </c>
      <c r="O104" s="832"/>
      <c r="P104" s="832"/>
      <c r="Q104" s="832"/>
      <c r="R104" s="832"/>
      <c r="S104" s="832"/>
    </row>
    <row r="105" spans="1:19" customFormat="1">
      <c r="A105" s="832"/>
      <c r="B105" s="842">
        <v>33</v>
      </c>
      <c r="C105" s="843" t="s">
        <v>2355</v>
      </c>
      <c r="D105" s="844">
        <v>0.44104664513013397</v>
      </c>
      <c r="E105" s="844">
        <v>3.33049152219679E-2</v>
      </c>
      <c r="F105" s="844">
        <v>1.28201113607819E-2</v>
      </c>
      <c r="G105" s="844">
        <v>3.6830924297065297E-2</v>
      </c>
      <c r="H105" s="845">
        <v>1.3078063903393101E-2</v>
      </c>
      <c r="I105" s="845">
        <v>4.5796221761778798E-3</v>
      </c>
      <c r="J105" s="837"/>
      <c r="K105" s="838"/>
      <c r="L105" s="839" t="s">
        <v>2074</v>
      </c>
      <c r="M105" s="840">
        <f t="shared" si="0"/>
        <v>0.54166028208952</v>
      </c>
      <c r="N105" s="841" t="str">
        <f t="shared" si="1"/>
        <v/>
      </c>
      <c r="O105" s="832"/>
      <c r="P105" s="832"/>
      <c r="Q105" s="832"/>
      <c r="R105" s="832"/>
      <c r="S105" s="832"/>
    </row>
    <row r="106" spans="1:19" customFormat="1">
      <c r="A106" s="832"/>
      <c r="B106" s="842">
        <v>34</v>
      </c>
      <c r="C106" s="843" t="s">
        <v>2356</v>
      </c>
      <c r="D106" s="844">
        <v>0.80125199652799395</v>
      </c>
      <c r="E106" s="844">
        <v>5.1729549917553498E-2</v>
      </c>
      <c r="F106" s="844">
        <v>1.9671029658698401E-2</v>
      </c>
      <c r="G106" s="844">
        <v>1.6590392598649299E-2</v>
      </c>
      <c r="H106" s="845">
        <v>7.5121412126140001E-3</v>
      </c>
      <c r="I106" s="845">
        <v>7.1647233519678199E-3</v>
      </c>
      <c r="J106" s="837"/>
      <c r="K106" s="838"/>
      <c r="L106" s="839" t="s">
        <v>2074</v>
      </c>
      <c r="M106" s="840">
        <f t="shared" si="0"/>
        <v>0.90391983326747694</v>
      </c>
      <c r="N106" s="841" t="str">
        <f t="shared" si="1"/>
        <v/>
      </c>
      <c r="O106" s="832"/>
      <c r="P106" s="832"/>
      <c r="Q106" s="832"/>
      <c r="R106" s="832"/>
      <c r="S106" s="832"/>
    </row>
    <row r="107" spans="1:19" customFormat="1">
      <c r="A107" s="832"/>
      <c r="B107" s="842">
        <v>35</v>
      </c>
      <c r="C107" s="843" t="s">
        <v>2357</v>
      </c>
      <c r="D107" s="844">
        <v>0.60037012354390795</v>
      </c>
      <c r="E107" s="844">
        <v>4.1463718017495099E-2</v>
      </c>
      <c r="F107" s="844">
        <v>1.28460858846854E-2</v>
      </c>
      <c r="G107" s="844">
        <v>9.9874431667213992E-3</v>
      </c>
      <c r="H107" s="845">
        <v>4.5906475430923703E-3</v>
      </c>
      <c r="I107" s="845">
        <v>3.8751058265217302E-3</v>
      </c>
      <c r="J107" s="837"/>
      <c r="K107" s="838"/>
      <c r="L107" s="839" t="s">
        <v>2074</v>
      </c>
      <c r="M107" s="840">
        <f t="shared" si="0"/>
        <v>0.67313312398242398</v>
      </c>
      <c r="N107" s="841" t="str">
        <f t="shared" si="1"/>
        <v/>
      </c>
      <c r="O107" s="832"/>
      <c r="P107" s="832"/>
      <c r="Q107" s="832"/>
      <c r="R107" s="832"/>
      <c r="S107" s="832"/>
    </row>
    <row r="108" spans="1:19" customFormat="1" ht="20.399999999999999">
      <c r="A108" s="832"/>
      <c r="B108" s="842" t="s">
        <v>2358</v>
      </c>
      <c r="C108" s="849" t="s">
        <v>2359</v>
      </c>
      <c r="D108" s="844">
        <v>0.51835972648137896</v>
      </c>
      <c r="E108" s="844">
        <v>3.73634605754758E-2</v>
      </c>
      <c r="F108" s="844">
        <v>1.6405327773719999E-2</v>
      </c>
      <c r="G108" s="844">
        <v>1.0000814703332601E-2</v>
      </c>
      <c r="H108" s="846">
        <v>1.21013520460013E-3</v>
      </c>
      <c r="I108" s="846">
        <v>9.8362564259425311E-4</v>
      </c>
      <c r="J108" s="837"/>
      <c r="K108" s="838"/>
      <c r="L108" s="839" t="s">
        <v>2074</v>
      </c>
      <c r="M108" s="840">
        <f t="shared" si="0"/>
        <v>0.58432309038110164</v>
      </c>
      <c r="N108" s="841" t="str">
        <f t="shared" si="1"/>
        <v/>
      </c>
      <c r="O108" s="832"/>
      <c r="P108" s="832"/>
      <c r="Q108" s="832"/>
      <c r="R108" s="832"/>
      <c r="S108" s="832"/>
    </row>
    <row r="109" spans="1:19" customFormat="1">
      <c r="A109" s="832"/>
      <c r="B109" s="842">
        <v>40.1</v>
      </c>
      <c r="C109" s="849" t="s">
        <v>2360</v>
      </c>
      <c r="D109" s="844">
        <v>6.1869440230139503</v>
      </c>
      <c r="E109" s="844">
        <v>0.24935520118752599</v>
      </c>
      <c r="F109" s="844">
        <v>4.75143506473273E-2</v>
      </c>
      <c r="G109" s="844">
        <v>5.8395379643146001E-3</v>
      </c>
      <c r="H109" s="846">
        <v>6.1143406151212504E-4</v>
      </c>
      <c r="I109" s="845">
        <v>1.2696511666493399E-2</v>
      </c>
      <c r="J109" s="837"/>
      <c r="K109" s="838"/>
      <c r="L109" s="839" t="s">
        <v>2074</v>
      </c>
      <c r="M109" s="840">
        <f t="shared" si="0"/>
        <v>6.5029610585411239</v>
      </c>
      <c r="N109" s="841" t="str">
        <f t="shared" si="1"/>
        <v/>
      </c>
      <c r="O109" s="832"/>
      <c r="P109" s="832"/>
      <c r="Q109" s="832"/>
      <c r="R109" s="832"/>
      <c r="S109" s="832"/>
    </row>
    <row r="110" spans="1:19" customFormat="1">
      <c r="A110" s="832"/>
      <c r="B110" s="842" t="s">
        <v>2361</v>
      </c>
      <c r="C110" s="849" t="s">
        <v>2362</v>
      </c>
      <c r="D110" s="844">
        <v>2.7232437882061098</v>
      </c>
      <c r="E110" s="844">
        <v>0.50752325504084805</v>
      </c>
      <c r="F110" s="844">
        <v>2.19873924803374E-2</v>
      </c>
      <c r="G110" s="844">
        <v>5.8000851099067104E-3</v>
      </c>
      <c r="H110" s="846">
        <v>9.3559471401933204E-4</v>
      </c>
      <c r="I110" s="845">
        <v>4.9531335868320701E-3</v>
      </c>
      <c r="J110" s="837"/>
      <c r="K110" s="838"/>
      <c r="L110" s="839" t="s">
        <v>2074</v>
      </c>
      <c r="M110" s="840">
        <f t="shared" si="0"/>
        <v>3.2644432491380537</v>
      </c>
      <c r="N110" s="841" t="str">
        <f t="shared" si="1"/>
        <v/>
      </c>
      <c r="O110" s="832"/>
      <c r="P110" s="832"/>
      <c r="Q110" s="832"/>
      <c r="R110" s="832"/>
      <c r="S110" s="832"/>
    </row>
    <row r="111" spans="1:19" customFormat="1">
      <c r="A111" s="832"/>
      <c r="B111" s="842">
        <v>41</v>
      </c>
      <c r="C111" s="849" t="s">
        <v>2363</v>
      </c>
      <c r="D111" s="844">
        <v>0.642161983929595</v>
      </c>
      <c r="E111" s="844">
        <v>4.0815418823404198E-2</v>
      </c>
      <c r="F111" s="844">
        <v>1.20044394257754E-2</v>
      </c>
      <c r="G111" s="844">
        <v>8.6512030724616093E-3</v>
      </c>
      <c r="H111" s="846">
        <v>1.07814674181378E-3</v>
      </c>
      <c r="I111" s="846">
        <v>1.2662399134028199E-3</v>
      </c>
      <c r="J111" s="837"/>
      <c r="K111" s="838"/>
      <c r="L111" s="839" t="s">
        <v>2074</v>
      </c>
      <c r="M111" s="840">
        <f t="shared" si="0"/>
        <v>0.7059774319064529</v>
      </c>
      <c r="N111" s="841" t="str">
        <f t="shared" si="1"/>
        <v/>
      </c>
      <c r="O111" s="832"/>
      <c r="P111" s="832"/>
      <c r="Q111" s="832"/>
      <c r="R111" s="832"/>
      <c r="S111" s="832"/>
    </row>
    <row r="112" spans="1:19" customFormat="1">
      <c r="A112" s="832"/>
      <c r="B112" s="842">
        <v>45</v>
      </c>
      <c r="C112" s="849" t="s">
        <v>2364</v>
      </c>
      <c r="D112" s="844">
        <v>0.48902920544538298</v>
      </c>
      <c r="E112" s="844">
        <v>3.9852346828823201E-2</v>
      </c>
      <c r="F112" s="844">
        <v>1.6134914155137198E-2</v>
      </c>
      <c r="G112" s="844">
        <v>8.2815486464383799E-3</v>
      </c>
      <c r="H112" s="846">
        <v>1.4328846858534701E-3</v>
      </c>
      <c r="I112" s="846">
        <v>1.32632137042731E-3</v>
      </c>
      <c r="J112" s="837"/>
      <c r="K112" s="838"/>
      <c r="L112" s="839" t="s">
        <v>2074</v>
      </c>
      <c r="M112" s="840">
        <f t="shared" si="0"/>
        <v>0.55605722113206257</v>
      </c>
      <c r="N112" s="841" t="str">
        <f t="shared" si="1"/>
        <v/>
      </c>
      <c r="O112" s="832"/>
      <c r="P112" s="832"/>
      <c r="Q112" s="832"/>
      <c r="R112" s="832"/>
      <c r="S112" s="832"/>
    </row>
    <row r="113" spans="1:19" customFormat="1" ht="20.399999999999999">
      <c r="A113" s="832"/>
      <c r="B113" s="842">
        <v>50</v>
      </c>
      <c r="C113" s="849" t="s">
        <v>2365</v>
      </c>
      <c r="D113" s="844">
        <v>0.77379622773128698</v>
      </c>
      <c r="E113" s="844">
        <v>7.4134686184808396E-2</v>
      </c>
      <c r="F113" s="844">
        <v>2.9322271106776002E-2</v>
      </c>
      <c r="G113" s="844">
        <v>2.0267505640277399E-2</v>
      </c>
      <c r="H113" s="845">
        <v>3.8381443400158401E-3</v>
      </c>
      <c r="I113" s="845">
        <v>3.2007243605143001E-3</v>
      </c>
      <c r="J113" s="837"/>
      <c r="K113" s="838"/>
      <c r="L113" s="839" t="s">
        <v>2074</v>
      </c>
      <c r="M113" s="840">
        <f t="shared" si="0"/>
        <v>0.90455955936367882</v>
      </c>
      <c r="N113" s="841" t="str">
        <f t="shared" si="1"/>
        <v/>
      </c>
      <c r="O113" s="832"/>
      <c r="P113" s="832"/>
      <c r="Q113" s="832"/>
      <c r="R113" s="832"/>
      <c r="S113" s="832"/>
    </row>
    <row r="114" spans="1:19" customFormat="1">
      <c r="A114" s="832"/>
      <c r="B114" s="842">
        <v>51</v>
      </c>
      <c r="C114" s="843" t="s">
        <v>2366</v>
      </c>
      <c r="D114" s="844">
        <v>0.49783282700999398</v>
      </c>
      <c r="E114" s="844">
        <v>9.6661303749112304E-2</v>
      </c>
      <c r="F114" s="844">
        <v>5.39056432900923E-2</v>
      </c>
      <c r="G114" s="844">
        <v>1.1789527885146801E-2</v>
      </c>
      <c r="H114" s="845">
        <v>1.8500587382547101E-3</v>
      </c>
      <c r="I114" s="846">
        <v>1.2661772141403301E-3</v>
      </c>
      <c r="J114" s="837"/>
      <c r="K114" s="838"/>
      <c r="L114" s="839" t="s">
        <v>2074</v>
      </c>
      <c r="M114" s="840">
        <f t="shared" si="0"/>
        <v>0.6633055378867404</v>
      </c>
      <c r="N114" s="841" t="str">
        <f t="shared" si="1"/>
        <v/>
      </c>
      <c r="O114" s="832"/>
      <c r="P114" s="832"/>
      <c r="Q114" s="832"/>
      <c r="R114" s="832"/>
      <c r="S114" s="832"/>
    </row>
    <row r="115" spans="1:19" customFormat="1">
      <c r="A115" s="832"/>
      <c r="B115" s="842">
        <v>52</v>
      </c>
      <c r="C115" s="843" t="s">
        <v>2367</v>
      </c>
      <c r="D115" s="844">
        <v>0.32412468945758799</v>
      </c>
      <c r="E115" s="844">
        <v>5.68760702222929E-2</v>
      </c>
      <c r="F115" s="844">
        <v>2.8349782457738702E-2</v>
      </c>
      <c r="G115" s="844">
        <v>2.82126672586227E-2</v>
      </c>
      <c r="H115" s="846">
        <v>9.4282473416569198E-4</v>
      </c>
      <c r="I115" s="846">
        <v>7.5135235676961499E-4</v>
      </c>
      <c r="J115" s="837"/>
      <c r="K115" s="838"/>
      <c r="L115" s="839" t="s">
        <v>2074</v>
      </c>
      <c r="M115" s="840">
        <f t="shared" si="0"/>
        <v>0.4392573864871776</v>
      </c>
      <c r="N115" s="841" t="str">
        <f t="shared" si="1"/>
        <v/>
      </c>
      <c r="O115" s="832"/>
      <c r="P115" s="832"/>
      <c r="Q115" s="832"/>
      <c r="R115" s="832"/>
      <c r="S115" s="832"/>
    </row>
    <row r="116" spans="1:19" customFormat="1">
      <c r="A116" s="832"/>
      <c r="B116" s="842">
        <v>55</v>
      </c>
      <c r="C116" s="843" t="s">
        <v>2368</v>
      </c>
      <c r="D116" s="844">
        <v>0.38017301402717402</v>
      </c>
      <c r="E116" s="844">
        <v>0.11662187412979901</v>
      </c>
      <c r="F116" s="844">
        <v>8.8704287544002197E-2</v>
      </c>
      <c r="G116" s="844">
        <v>8.9403346042286301E-3</v>
      </c>
      <c r="H116" s="846">
        <v>1.0211475434602801E-3</v>
      </c>
      <c r="I116" s="846">
        <v>8.6868290730262698E-4</v>
      </c>
      <c r="J116" s="837"/>
      <c r="K116" s="838"/>
      <c r="L116" s="839" t="s">
        <v>2074</v>
      </c>
      <c r="M116" s="840">
        <f t="shared" si="0"/>
        <v>0.59632934075596666</v>
      </c>
      <c r="N116" s="841" t="str">
        <f t="shared" si="1"/>
        <v/>
      </c>
      <c r="O116" s="832"/>
      <c r="P116" s="832"/>
      <c r="Q116" s="832"/>
      <c r="R116" s="832"/>
      <c r="S116" s="832"/>
    </row>
    <row r="117" spans="1:19" customFormat="1">
      <c r="A117" s="832"/>
      <c r="B117" s="842">
        <v>60.1</v>
      </c>
      <c r="C117" s="843" t="s">
        <v>2369</v>
      </c>
      <c r="D117" s="844">
        <v>0.96229149012380799</v>
      </c>
      <c r="E117" s="844">
        <v>7.4269053234228E-2</v>
      </c>
      <c r="F117" s="844">
        <v>6.0493753514671698E-2</v>
      </c>
      <c r="G117" s="844">
        <v>9.5055843310543203E-3</v>
      </c>
      <c r="H117" s="846">
        <v>1.45541219121412E-3</v>
      </c>
      <c r="I117" s="846">
        <v>1.35358129358594E-3</v>
      </c>
      <c r="J117" s="837"/>
      <c r="K117" s="838"/>
      <c r="L117" s="839" t="s">
        <v>2074</v>
      </c>
      <c r="M117" s="840">
        <f t="shared" si="0"/>
        <v>1.1093688746885619</v>
      </c>
      <c r="N117" s="841" t="str">
        <f t="shared" si="1"/>
        <v/>
      </c>
      <c r="O117" s="832"/>
      <c r="P117" s="832"/>
      <c r="Q117" s="832"/>
      <c r="R117" s="832"/>
      <c r="S117" s="832"/>
    </row>
    <row r="118" spans="1:19" customFormat="1">
      <c r="A118" s="832"/>
      <c r="B118" s="842">
        <v>60.2</v>
      </c>
      <c r="C118" s="843" t="s">
        <v>2370</v>
      </c>
      <c r="D118" s="844">
        <v>1.08379507941687</v>
      </c>
      <c r="E118" s="844">
        <v>7.4964920504001997E-2</v>
      </c>
      <c r="F118" s="844">
        <v>1.88216691873078E-2</v>
      </c>
      <c r="G118" s="844">
        <v>9.8938789699399392E-3</v>
      </c>
      <c r="H118" s="846">
        <v>1.09857605883319E-3</v>
      </c>
      <c r="I118" s="846">
        <v>9.3122207305763004E-4</v>
      </c>
      <c r="J118" s="837"/>
      <c r="K118" s="838"/>
      <c r="L118" s="839" t="s">
        <v>2074</v>
      </c>
      <c r="M118" s="840">
        <f t="shared" si="0"/>
        <v>1.1895053462100105</v>
      </c>
      <c r="N118" s="841" t="str">
        <f t="shared" si="1"/>
        <v/>
      </c>
      <c r="O118" s="832"/>
      <c r="P118" s="832"/>
      <c r="Q118" s="832"/>
      <c r="R118" s="832"/>
      <c r="S118" s="832"/>
    </row>
    <row r="119" spans="1:19" customFormat="1">
      <c r="A119" s="832"/>
      <c r="B119" s="842">
        <v>61</v>
      </c>
      <c r="C119" s="843" t="s">
        <v>2371</v>
      </c>
      <c r="D119" s="844">
        <v>2.5142904311755299</v>
      </c>
      <c r="E119" s="844">
        <v>8.1591313251493006E-2</v>
      </c>
      <c r="F119" s="844">
        <v>3.16452495838409E-2</v>
      </c>
      <c r="G119" s="844">
        <v>5.3584227150427696E-3</v>
      </c>
      <c r="H119" s="846">
        <v>1.09688061647452E-3</v>
      </c>
      <c r="I119" s="846">
        <v>8.1747665985924497E-4</v>
      </c>
      <c r="J119" s="837"/>
      <c r="K119" s="838"/>
      <c r="L119" s="839" t="s">
        <v>2074</v>
      </c>
      <c r="M119" s="840">
        <f t="shared" si="0"/>
        <v>2.6347997740022402</v>
      </c>
      <c r="N119" s="841" t="str">
        <f t="shared" si="1"/>
        <v/>
      </c>
      <c r="O119" s="832"/>
      <c r="P119" s="832"/>
      <c r="Q119" s="832"/>
      <c r="R119" s="832"/>
      <c r="S119" s="832"/>
    </row>
    <row r="120" spans="1:19" customFormat="1">
      <c r="A120" s="832"/>
      <c r="B120" s="842">
        <v>62</v>
      </c>
      <c r="C120" s="843" t="s">
        <v>2372</v>
      </c>
      <c r="D120" s="844">
        <v>3.2058135409200399</v>
      </c>
      <c r="E120" s="844">
        <v>0.112023309640879</v>
      </c>
      <c r="F120" s="844">
        <v>4.11842640258221E-2</v>
      </c>
      <c r="G120" s="844">
        <v>7.6359093489875296E-3</v>
      </c>
      <c r="H120" s="846">
        <v>1.2942894109893399E-3</v>
      </c>
      <c r="I120" s="846">
        <v>9.6172037464801997E-4</v>
      </c>
      <c r="J120" s="837"/>
      <c r="K120" s="838"/>
      <c r="L120" s="839" t="s">
        <v>2074</v>
      </c>
      <c r="M120" s="840">
        <f t="shared" si="0"/>
        <v>3.3689130337213662</v>
      </c>
      <c r="N120" s="841" t="str">
        <f t="shared" si="1"/>
        <v/>
      </c>
      <c r="O120" s="832"/>
      <c r="P120" s="832"/>
      <c r="Q120" s="832"/>
      <c r="R120" s="832"/>
      <c r="S120" s="832"/>
    </row>
    <row r="121" spans="1:19" customFormat="1">
      <c r="A121" s="832"/>
      <c r="B121" s="842">
        <v>63</v>
      </c>
      <c r="C121" s="834" t="s">
        <v>2373</v>
      </c>
      <c r="D121" s="835">
        <v>0.32609444955082001</v>
      </c>
      <c r="E121" s="835">
        <v>3.45057438356852E-2</v>
      </c>
      <c r="F121" s="835">
        <v>1.42881990928594E-2</v>
      </c>
      <c r="G121" s="835">
        <v>7.3117945313970201E-3</v>
      </c>
      <c r="H121" s="836">
        <v>9.7340185704966099E-4</v>
      </c>
      <c r="I121" s="836">
        <v>6.6001631051876698E-4</v>
      </c>
      <c r="J121" s="837"/>
      <c r="K121" s="838"/>
      <c r="L121" s="839" t="s">
        <v>2074</v>
      </c>
      <c r="M121" s="840">
        <f t="shared" si="0"/>
        <v>0.38383360517833004</v>
      </c>
      <c r="N121" s="841" t="str">
        <f t="shared" si="1"/>
        <v/>
      </c>
      <c r="O121" s="832"/>
      <c r="P121" s="832"/>
      <c r="Q121" s="832"/>
      <c r="R121" s="832"/>
      <c r="S121" s="832"/>
    </row>
    <row r="122" spans="1:19" customFormat="1">
      <c r="A122" s="832"/>
      <c r="B122" s="842">
        <v>64</v>
      </c>
      <c r="C122" s="834" t="s">
        <v>2374</v>
      </c>
      <c r="D122" s="835">
        <v>0.55724030395856305</v>
      </c>
      <c r="E122" s="835">
        <v>4.61426413762809E-2</v>
      </c>
      <c r="F122" s="835">
        <v>1.7512496055135999E-2</v>
      </c>
      <c r="G122" s="835">
        <v>8.5858214017176596E-2</v>
      </c>
      <c r="H122" s="845">
        <v>1.23812555315666E-2</v>
      </c>
      <c r="I122" s="845">
        <v>4.2606739190194599E-3</v>
      </c>
      <c r="J122" s="837"/>
      <c r="K122" s="838"/>
      <c r="L122" s="839" t="s">
        <v>2074</v>
      </c>
      <c r="M122" s="840">
        <f t="shared" si="0"/>
        <v>0.72339558485774258</v>
      </c>
      <c r="N122" s="841" t="str">
        <f t="shared" si="1"/>
        <v/>
      </c>
      <c r="O122" s="832"/>
      <c r="P122" s="832"/>
      <c r="Q122" s="832"/>
      <c r="R122" s="832"/>
      <c r="S122" s="832"/>
    </row>
    <row r="123" spans="1:19" customFormat="1">
      <c r="A123" s="832"/>
      <c r="B123" s="842">
        <v>65</v>
      </c>
      <c r="C123" s="834" t="s">
        <v>2375</v>
      </c>
      <c r="D123" s="835">
        <v>0.18136198393852601</v>
      </c>
      <c r="E123" s="835">
        <v>2.00703083910291E-2</v>
      </c>
      <c r="F123" s="835">
        <v>6.68142972122787E-3</v>
      </c>
      <c r="G123" s="835">
        <v>4.9510346501516703E-3</v>
      </c>
      <c r="H123" s="836">
        <v>6.7812379742829602E-4</v>
      </c>
      <c r="I123" s="836">
        <v>3.8882597834308702E-4</v>
      </c>
      <c r="J123" s="837"/>
      <c r="K123" s="838"/>
      <c r="L123" s="839" t="s">
        <v>2074</v>
      </c>
      <c r="M123" s="840">
        <f t="shared" si="0"/>
        <v>0.21413170647670604</v>
      </c>
      <c r="N123" s="841" t="str">
        <f t="shared" si="1"/>
        <v/>
      </c>
      <c r="O123" s="832"/>
      <c r="P123" s="832"/>
      <c r="Q123" s="832"/>
      <c r="R123" s="832"/>
      <c r="S123" s="832"/>
    </row>
    <row r="124" spans="1:19" customFormat="1">
      <c r="A124" s="832"/>
      <c r="B124" s="842">
        <v>66</v>
      </c>
      <c r="C124" s="834" t="s">
        <v>2376</v>
      </c>
      <c r="D124" s="835">
        <v>0.30478366951973601</v>
      </c>
      <c r="E124" s="835">
        <v>3.2336488114843798E-2</v>
      </c>
      <c r="F124" s="835">
        <v>1.1648855088685701E-2</v>
      </c>
      <c r="G124" s="835">
        <v>9.5926090688874307E-3</v>
      </c>
      <c r="H124" s="836">
        <v>1.3245169456907E-3</v>
      </c>
      <c r="I124" s="836">
        <v>7.76021196304218E-4</v>
      </c>
      <c r="J124" s="837"/>
      <c r="K124" s="838"/>
      <c r="L124" s="839" t="s">
        <v>2074</v>
      </c>
      <c r="M124" s="840">
        <f t="shared" si="0"/>
        <v>0.36046215993414782</v>
      </c>
      <c r="N124" s="841" t="str">
        <f t="shared" si="1"/>
        <v/>
      </c>
      <c r="O124" s="832"/>
      <c r="P124" s="832"/>
      <c r="Q124" s="832"/>
      <c r="R124" s="832"/>
      <c r="S124" s="832"/>
    </row>
    <row r="125" spans="1:19" customFormat="1">
      <c r="A125" s="832"/>
      <c r="B125" s="842">
        <v>67</v>
      </c>
      <c r="C125" s="834" t="s">
        <v>2377</v>
      </c>
      <c r="D125" s="835">
        <v>0.241360246232177</v>
      </c>
      <c r="E125" s="835">
        <v>2.6310671790855202E-2</v>
      </c>
      <c r="F125" s="835">
        <v>8.9998443111779305E-3</v>
      </c>
      <c r="G125" s="835">
        <v>1.02326469349363E-2</v>
      </c>
      <c r="H125" s="836">
        <v>1.3490029503843001E-3</v>
      </c>
      <c r="I125" s="836">
        <v>7.3261504558606502E-4</v>
      </c>
      <c r="J125" s="837"/>
      <c r="K125" s="838"/>
      <c r="L125" s="839" t="s">
        <v>2074</v>
      </c>
      <c r="M125" s="840">
        <f t="shared" si="0"/>
        <v>0.28898502726511688</v>
      </c>
      <c r="N125" s="841" t="str">
        <f t="shared" si="1"/>
        <v/>
      </c>
      <c r="O125" s="832"/>
      <c r="P125" s="832"/>
      <c r="Q125" s="832"/>
      <c r="R125" s="832"/>
      <c r="S125" s="832"/>
    </row>
    <row r="126" spans="1:19" customFormat="1">
      <c r="A126" s="832"/>
      <c r="B126" s="842">
        <v>70</v>
      </c>
      <c r="C126" s="834" t="s">
        <v>2378</v>
      </c>
      <c r="D126" s="835">
        <v>0.101205210934142</v>
      </c>
      <c r="E126" s="835">
        <v>1.2512552348126401E-2</v>
      </c>
      <c r="F126" s="835">
        <v>6.3162436402059499E-3</v>
      </c>
      <c r="G126" s="835">
        <v>2.5831069130934801E-3</v>
      </c>
      <c r="H126" s="836">
        <v>3.4303374578319602E-4</v>
      </c>
      <c r="I126" s="836">
        <v>2.5649169437834E-4</v>
      </c>
      <c r="J126" s="837"/>
      <c r="K126" s="838"/>
      <c r="L126" s="839" t="s">
        <v>2074</v>
      </c>
      <c r="M126" s="840">
        <f t="shared" si="0"/>
        <v>0.12321663927572936</v>
      </c>
      <c r="N126" s="841" t="str">
        <f t="shared" si="1"/>
        <v/>
      </c>
      <c r="O126" s="832"/>
      <c r="P126" s="832"/>
      <c r="Q126" s="832"/>
      <c r="R126" s="832"/>
      <c r="S126" s="832"/>
    </row>
    <row r="127" spans="1:19" customFormat="1">
      <c r="A127" s="832"/>
      <c r="B127" s="842">
        <v>71</v>
      </c>
      <c r="C127" s="834" t="s">
        <v>2379</v>
      </c>
      <c r="D127" s="835">
        <v>0.40497922828289201</v>
      </c>
      <c r="E127" s="835">
        <v>6.7836311717007797E-2</v>
      </c>
      <c r="F127" s="835">
        <v>1.5276437175672199E-2</v>
      </c>
      <c r="G127" s="835">
        <v>9.3930368532826308E-3</v>
      </c>
      <c r="H127" s="836">
        <v>1.4510279152805301E-3</v>
      </c>
      <c r="I127" s="836">
        <v>1.1516375616503201E-3</v>
      </c>
      <c r="J127" s="837"/>
      <c r="K127" s="838"/>
      <c r="L127" s="839" t="s">
        <v>2074</v>
      </c>
      <c r="M127" s="840">
        <f t="shared" ref="M127:M137" si="2">D127+E127+F127+G127+H127+I127</f>
        <v>0.50008767950578537</v>
      </c>
      <c r="N127" s="841" t="str">
        <f t="shared" ref="N127:N137" si="3">IF(ISBLANK(K127),"",K127*M127)</f>
        <v/>
      </c>
      <c r="O127" s="832"/>
      <c r="P127" s="832"/>
      <c r="Q127" s="832"/>
      <c r="R127" s="832"/>
      <c r="S127" s="832"/>
    </row>
    <row r="128" spans="1:19" customFormat="1">
      <c r="A128" s="832"/>
      <c r="B128" s="842">
        <v>72</v>
      </c>
      <c r="C128" s="834" t="s">
        <v>2380</v>
      </c>
      <c r="D128" s="835">
        <v>0.22668935875784399</v>
      </c>
      <c r="E128" s="835">
        <v>3.2214533286384003E-2</v>
      </c>
      <c r="F128" s="835">
        <v>1.1164179548859799E-2</v>
      </c>
      <c r="G128" s="835">
        <v>8.7605853246849399E-3</v>
      </c>
      <c r="H128" s="836">
        <v>1.43116514115871E-3</v>
      </c>
      <c r="I128" s="836">
        <v>7.8129010288274E-4</v>
      </c>
      <c r="J128" s="837"/>
      <c r="K128" s="838"/>
      <c r="L128" s="839" t="s">
        <v>2074</v>
      </c>
      <c r="M128" s="840">
        <f t="shared" si="2"/>
        <v>0.28104111216181416</v>
      </c>
      <c r="N128" s="841" t="str">
        <f t="shared" si="3"/>
        <v/>
      </c>
      <c r="O128" s="832"/>
      <c r="P128" s="832"/>
      <c r="Q128" s="832"/>
      <c r="R128" s="832"/>
      <c r="S128" s="832"/>
    </row>
    <row r="129" spans="1:19" customFormat="1">
      <c r="A129" s="832"/>
      <c r="B129" s="842">
        <v>73</v>
      </c>
      <c r="C129" s="834" t="s">
        <v>2381</v>
      </c>
      <c r="D129" s="835">
        <v>0.461099512116385</v>
      </c>
      <c r="E129" s="835">
        <v>7.1564407827337195E-2</v>
      </c>
      <c r="F129" s="835">
        <v>3.06657698063438E-2</v>
      </c>
      <c r="G129" s="835">
        <v>1.38936478320621E-2</v>
      </c>
      <c r="H129" s="845">
        <v>2.3701814652221701E-3</v>
      </c>
      <c r="I129" s="836">
        <v>1.07283749160775E-3</v>
      </c>
      <c r="J129" s="837"/>
      <c r="K129" s="838"/>
      <c r="L129" s="839" t="s">
        <v>2074</v>
      </c>
      <c r="M129" s="840">
        <f t="shared" si="2"/>
        <v>0.58066635653895815</v>
      </c>
      <c r="N129" s="841" t="str">
        <f t="shared" si="3"/>
        <v/>
      </c>
      <c r="O129" s="832"/>
      <c r="P129" s="832"/>
      <c r="Q129" s="832"/>
      <c r="R129" s="832"/>
      <c r="S129" s="832"/>
    </row>
    <row r="130" spans="1:19" customFormat="1">
      <c r="A130" s="832"/>
      <c r="B130" s="842">
        <v>74</v>
      </c>
      <c r="C130" s="834" t="s">
        <v>2382</v>
      </c>
      <c r="D130" s="835">
        <v>0.171589898696452</v>
      </c>
      <c r="E130" s="835">
        <v>2.1419417034632401E-2</v>
      </c>
      <c r="F130" s="835">
        <v>7.47975610395182E-3</v>
      </c>
      <c r="G130" s="835">
        <v>6.1066098125832401E-3</v>
      </c>
      <c r="H130" s="836">
        <v>7.7237393296588003E-4</v>
      </c>
      <c r="I130" s="836">
        <v>4.5681735351425101E-4</v>
      </c>
      <c r="J130" s="837"/>
      <c r="K130" s="838"/>
      <c r="L130" s="839" t="s">
        <v>2074</v>
      </c>
      <c r="M130" s="840">
        <f t="shared" si="2"/>
        <v>0.2078248729340996</v>
      </c>
      <c r="N130" s="841" t="str">
        <f t="shared" si="3"/>
        <v/>
      </c>
      <c r="O130" s="832"/>
      <c r="P130" s="832"/>
      <c r="Q130" s="832"/>
      <c r="R130" s="832"/>
      <c r="S130" s="832"/>
    </row>
    <row r="131" spans="1:19" customFormat="1">
      <c r="A131" s="832"/>
      <c r="B131" s="842">
        <v>75</v>
      </c>
      <c r="C131" s="834" t="s">
        <v>2383</v>
      </c>
      <c r="D131" s="835">
        <v>0.388748490699583</v>
      </c>
      <c r="E131" s="835">
        <v>4.25470753518137E-2</v>
      </c>
      <c r="F131" s="835">
        <v>1.38125291510222E-2</v>
      </c>
      <c r="G131" s="835">
        <v>1.05434465043191E-2</v>
      </c>
      <c r="H131" s="845">
        <v>2.8217680165816801E-3</v>
      </c>
      <c r="I131" s="845">
        <v>1.5433570820617499E-3</v>
      </c>
      <c r="J131" s="837"/>
      <c r="K131" s="838"/>
      <c r="L131" s="839" t="s">
        <v>2074</v>
      </c>
      <c r="M131" s="840">
        <f t="shared" si="2"/>
        <v>0.46001666680538145</v>
      </c>
      <c r="N131" s="841" t="str">
        <f t="shared" si="3"/>
        <v/>
      </c>
      <c r="O131" s="832"/>
      <c r="P131" s="832"/>
      <c r="Q131" s="832"/>
      <c r="R131" s="832"/>
      <c r="S131" s="832"/>
    </row>
    <row r="132" spans="1:19" customFormat="1">
      <c r="A132" s="832"/>
      <c r="B132" s="842">
        <v>80</v>
      </c>
      <c r="C132" s="834" t="s">
        <v>2384</v>
      </c>
      <c r="D132" s="835">
        <v>0.21039321738738001</v>
      </c>
      <c r="E132" s="835">
        <v>4.60209583553133E-2</v>
      </c>
      <c r="F132" s="835">
        <v>2.44492270633462E-2</v>
      </c>
      <c r="G132" s="835">
        <v>5.4739198101246304E-3</v>
      </c>
      <c r="H132" s="836">
        <v>5.34292318056974E-4</v>
      </c>
      <c r="I132" s="836">
        <v>4.2745347168037803E-4</v>
      </c>
      <c r="J132" s="837"/>
      <c r="K132" s="838"/>
      <c r="L132" s="839" t="s">
        <v>2074</v>
      </c>
      <c r="M132" s="840">
        <f t="shared" si="2"/>
        <v>0.28729906840590147</v>
      </c>
      <c r="N132" s="841" t="str">
        <f t="shared" si="3"/>
        <v/>
      </c>
      <c r="O132" s="832"/>
      <c r="P132" s="832"/>
      <c r="Q132" s="832"/>
      <c r="R132" s="832"/>
      <c r="S132" s="832"/>
    </row>
    <row r="133" spans="1:19" customFormat="1">
      <c r="A133" s="832"/>
      <c r="B133" s="842">
        <v>85</v>
      </c>
      <c r="C133" s="834" t="s">
        <v>2385</v>
      </c>
      <c r="D133" s="835">
        <v>0.33118877683988701</v>
      </c>
      <c r="E133" s="835">
        <v>5.1468396050047001E-2</v>
      </c>
      <c r="F133" s="835">
        <v>2.38612898501891E-2</v>
      </c>
      <c r="G133" s="835">
        <v>1.4162933056613199E-2</v>
      </c>
      <c r="H133" s="836">
        <v>2.6991612873716901E-3</v>
      </c>
      <c r="I133" s="845">
        <v>9.7367885331303998E-4</v>
      </c>
      <c r="J133" s="837"/>
      <c r="K133" s="838"/>
      <c r="L133" s="839" t="s">
        <v>2074</v>
      </c>
      <c r="M133" s="840">
        <f t="shared" si="2"/>
        <v>0.42435423593742105</v>
      </c>
      <c r="N133" s="841" t="str">
        <f t="shared" si="3"/>
        <v/>
      </c>
      <c r="O133" s="832"/>
      <c r="P133" s="832"/>
      <c r="Q133" s="832"/>
      <c r="R133" s="832"/>
      <c r="S133" s="832"/>
    </row>
    <row r="134" spans="1:19" customFormat="1">
      <c r="A134" s="832"/>
      <c r="B134" s="842">
        <v>90</v>
      </c>
      <c r="C134" s="834" t="s">
        <v>2386</v>
      </c>
      <c r="D134" s="835">
        <v>0.47478775277374602</v>
      </c>
      <c r="E134" s="835">
        <v>1.41685228061043</v>
      </c>
      <c r="F134" s="835">
        <v>9.6025672497778297E-2</v>
      </c>
      <c r="G134" s="835">
        <v>1.1588370776793699E-2</v>
      </c>
      <c r="H134" s="845">
        <v>1.1009122852117499E-3</v>
      </c>
      <c r="I134" s="845">
        <v>1.2165195355909699E-2</v>
      </c>
      <c r="J134" s="837"/>
      <c r="K134" s="838"/>
      <c r="L134" s="839" t="s">
        <v>2074</v>
      </c>
      <c r="M134" s="840">
        <f t="shared" si="2"/>
        <v>2.0125201842998695</v>
      </c>
      <c r="N134" s="841" t="str">
        <f>IF(ISBLANK(K134),"",K134*M134)</f>
        <v/>
      </c>
      <c r="O134" s="832"/>
      <c r="P134" s="832"/>
      <c r="Q134" s="832"/>
      <c r="R134" s="832"/>
      <c r="S134" s="832"/>
    </row>
    <row r="135" spans="1:19" customFormat="1">
      <c r="A135" s="832"/>
      <c r="B135" s="842">
        <v>91</v>
      </c>
      <c r="C135" s="834" t="s">
        <v>2387</v>
      </c>
      <c r="D135" s="835">
        <v>0.16593055042205199</v>
      </c>
      <c r="E135" s="835">
        <v>2.0949804261202899E-2</v>
      </c>
      <c r="F135" s="835">
        <v>1.05548163289238E-2</v>
      </c>
      <c r="G135" s="835">
        <v>5.7138636158922101E-3</v>
      </c>
      <c r="H135" s="836">
        <v>4.4503267402501998E-4</v>
      </c>
      <c r="I135" s="836">
        <v>3.2068059193746503E-4</v>
      </c>
      <c r="J135" s="837"/>
      <c r="K135" s="838"/>
      <c r="L135" s="839" t="s">
        <v>2074</v>
      </c>
      <c r="M135" s="840">
        <f t="shared" si="2"/>
        <v>0.20391474789403338</v>
      </c>
      <c r="N135" s="841" t="str">
        <f t="shared" si="3"/>
        <v/>
      </c>
      <c r="O135" s="832"/>
      <c r="P135" s="832"/>
      <c r="Q135" s="832"/>
      <c r="R135" s="832"/>
      <c r="S135" s="832"/>
    </row>
    <row r="136" spans="1:19" customFormat="1">
      <c r="A136" s="832"/>
      <c r="B136" s="842">
        <v>92</v>
      </c>
      <c r="C136" s="834" t="s">
        <v>2388</v>
      </c>
      <c r="D136" s="835">
        <v>0.25281116466779902</v>
      </c>
      <c r="E136" s="835">
        <v>4.5945846971626202E-2</v>
      </c>
      <c r="F136" s="835">
        <v>2.68862202110897E-2</v>
      </c>
      <c r="G136" s="835">
        <v>7.0066048246994403E-3</v>
      </c>
      <c r="H136" s="836">
        <v>8.2287420075744801E-4</v>
      </c>
      <c r="I136" s="836">
        <v>5.4245959752881204E-4</v>
      </c>
      <c r="J136" s="837"/>
      <c r="K136" s="838"/>
      <c r="L136" s="839" t="s">
        <v>2074</v>
      </c>
      <c r="M136" s="840">
        <f t="shared" si="2"/>
        <v>0.3340151704735006</v>
      </c>
      <c r="N136" s="841" t="str">
        <f t="shared" si="3"/>
        <v/>
      </c>
      <c r="O136" s="832"/>
      <c r="P136" s="832"/>
      <c r="Q136" s="832"/>
      <c r="R136" s="832"/>
      <c r="S136" s="832"/>
    </row>
    <row r="137" spans="1:19" customFormat="1">
      <c r="A137" s="832"/>
      <c r="B137" s="842">
        <v>93</v>
      </c>
      <c r="C137" s="834" t="s">
        <v>2389</v>
      </c>
      <c r="D137" s="835">
        <v>0.29966055183064999</v>
      </c>
      <c r="E137" s="835">
        <v>5.0835736207208701E-2</v>
      </c>
      <c r="F137" s="835">
        <v>1.49547742182465E-2</v>
      </c>
      <c r="G137" s="835">
        <v>1.08447400791945E-2</v>
      </c>
      <c r="H137" s="836">
        <v>9.6158558230389601E-4</v>
      </c>
      <c r="I137" s="836">
        <v>8.1488314191716104E-4</v>
      </c>
      <c r="J137" s="837"/>
      <c r="K137" s="838"/>
      <c r="L137" s="839" t="s">
        <v>2074</v>
      </c>
      <c r="M137" s="840">
        <f t="shared" si="2"/>
        <v>0.37807227105952079</v>
      </c>
      <c r="N137" s="841" t="str">
        <f t="shared" si="3"/>
        <v/>
      </c>
      <c r="O137" s="832"/>
      <c r="P137" s="832"/>
      <c r="Q137" s="832"/>
      <c r="R137" s="832"/>
      <c r="S137" s="832"/>
    </row>
    <row r="138" spans="1:19" customFormat="1">
      <c r="A138" s="760"/>
      <c r="B138" s="850"/>
      <c r="C138" s="850" t="s">
        <v>2390</v>
      </c>
      <c r="D138" s="851"/>
      <c r="E138" s="851"/>
      <c r="F138" s="851"/>
      <c r="G138" s="851"/>
      <c r="H138" s="851"/>
      <c r="I138" s="851"/>
      <c r="J138" s="852"/>
      <c r="K138" s="853"/>
      <c r="L138" s="851"/>
      <c r="M138" s="851"/>
      <c r="N138" s="854">
        <f>SUM(N63:N137)</f>
        <v>0</v>
      </c>
      <c r="O138" s="760"/>
      <c r="P138" s="760"/>
      <c r="Q138" s="760"/>
      <c r="R138" s="760"/>
      <c r="S138" s="760"/>
    </row>
    <row r="139" spans="1:19" customFormat="1">
      <c r="A139" s="723"/>
      <c r="B139" s="723"/>
      <c r="C139" s="723"/>
      <c r="D139" s="723"/>
      <c r="E139" s="723"/>
      <c r="F139" s="824"/>
      <c r="G139" s="824"/>
      <c r="H139" s="824"/>
      <c r="I139" s="824"/>
      <c r="J139" s="824"/>
      <c r="K139" s="824"/>
      <c r="L139" s="824"/>
      <c r="M139" s="824"/>
      <c r="N139" s="723"/>
      <c r="O139" s="723"/>
      <c r="P139" s="723"/>
      <c r="Q139" s="723"/>
      <c r="R139" s="723"/>
      <c r="S139" s="723"/>
    </row>
    <row r="140" spans="1:19" customFormat="1" ht="12.75" customHeight="1">
      <c r="A140" s="794" t="s">
        <v>2391</v>
      </c>
      <c r="B140" s="1064" t="s">
        <v>2392</v>
      </c>
      <c r="C140" s="1064"/>
      <c r="D140" s="1064"/>
      <c r="E140" s="1064"/>
      <c r="F140" s="1064"/>
      <c r="G140" s="1064"/>
      <c r="H140" s="1064"/>
      <c r="I140" s="1064"/>
      <c r="J140" s="1064"/>
      <c r="K140" s="1064"/>
      <c r="L140" s="1064"/>
      <c r="M140" s="1064"/>
      <c r="N140" s="1064"/>
      <c r="O140" s="723"/>
      <c r="P140" s="723"/>
      <c r="Q140" s="723"/>
      <c r="R140" s="723"/>
      <c r="S140" s="723"/>
    </row>
    <row r="141" spans="1:19" customFormat="1" ht="12.75" customHeight="1">
      <c r="A141" s="794"/>
      <c r="B141" s="1070" t="s">
        <v>2290</v>
      </c>
      <c r="C141" s="1070"/>
      <c r="D141" s="1070"/>
      <c r="E141" s="1070"/>
      <c r="F141" s="1070"/>
      <c r="G141" s="1070"/>
      <c r="H141" s="1070"/>
      <c r="I141" s="1070"/>
      <c r="J141" s="1070"/>
      <c r="K141" s="1070"/>
      <c r="L141" s="1070"/>
      <c r="M141" s="1070"/>
      <c r="N141" s="1070"/>
      <c r="O141" s="723"/>
      <c r="P141" s="723"/>
      <c r="Q141" s="723"/>
      <c r="R141" s="723"/>
      <c r="S141" s="723"/>
    </row>
    <row r="142" spans="1:19" customFormat="1">
      <c r="A142" s="794"/>
      <c r="B142" s="855"/>
      <c r="C142" s="856"/>
      <c r="D142" s="856"/>
      <c r="E142" s="856"/>
      <c r="F142" s="857"/>
      <c r="G142" s="857"/>
      <c r="H142" s="857"/>
      <c r="I142" s="857"/>
      <c r="J142" s="857"/>
      <c r="K142" s="857"/>
      <c r="L142" s="857"/>
      <c r="M142" s="857"/>
      <c r="N142" s="856"/>
      <c r="O142" s="723"/>
      <c r="P142" s="723"/>
      <c r="Q142" s="723"/>
      <c r="R142" s="723"/>
      <c r="S142" s="723"/>
    </row>
    <row r="143" spans="1:19" customFormat="1">
      <c r="A143" s="794" t="s">
        <v>2393</v>
      </c>
      <c r="B143" s="1071"/>
      <c r="C143" s="1071"/>
      <c r="D143" s="1071"/>
      <c r="E143" s="1071"/>
      <c r="F143" s="1071"/>
      <c r="G143" s="1071"/>
      <c r="H143" s="1071"/>
      <c r="I143" s="1071"/>
      <c r="J143" s="1071"/>
      <c r="K143" s="1071"/>
      <c r="L143" s="1071"/>
      <c r="M143" s="1071"/>
      <c r="N143" s="1071"/>
      <c r="O143" s="723"/>
      <c r="P143" s="723"/>
      <c r="Q143" s="723"/>
      <c r="R143" s="723"/>
      <c r="S143" s="723"/>
    </row>
    <row r="144" spans="1:19" customFormat="1" ht="15.6">
      <c r="A144" s="858">
        <v>1</v>
      </c>
      <c r="B144" s="1072" t="s">
        <v>2394</v>
      </c>
      <c r="C144" s="1072"/>
      <c r="D144" s="1072"/>
      <c r="E144" s="1072"/>
      <c r="F144" s="1072"/>
      <c r="G144" s="1072"/>
      <c r="H144" s="1072"/>
      <c r="I144" s="1072"/>
      <c r="J144" s="1072"/>
      <c r="K144" s="1072"/>
      <c r="L144" s="1072"/>
      <c r="M144" s="1072"/>
      <c r="N144" s="1072"/>
      <c r="O144" s="723"/>
      <c r="P144" s="723"/>
      <c r="Q144" s="723"/>
      <c r="R144" s="723"/>
      <c r="S144" s="723"/>
    </row>
    <row r="145" spans="1:19" customFormat="1" ht="15.6">
      <c r="A145" s="858"/>
      <c r="B145" s="1072"/>
      <c r="C145" s="1072"/>
      <c r="D145" s="1072"/>
      <c r="E145" s="1072"/>
      <c r="F145" s="1072"/>
      <c r="G145" s="1072"/>
      <c r="H145" s="1072"/>
      <c r="I145" s="1072"/>
      <c r="J145" s="1072"/>
      <c r="K145" s="1072"/>
      <c r="L145" s="1072"/>
      <c r="M145" s="1072"/>
      <c r="N145" s="1072"/>
      <c r="O145" s="723"/>
      <c r="P145" s="723"/>
      <c r="Q145" s="723"/>
      <c r="R145" s="723"/>
      <c r="S145" s="723"/>
    </row>
    <row r="146" spans="1:19" customFormat="1" ht="15.6">
      <c r="A146" s="858">
        <v>2</v>
      </c>
      <c r="B146" s="1061" t="s">
        <v>2395</v>
      </c>
      <c r="C146" s="1061"/>
      <c r="D146" s="1061"/>
      <c r="E146" s="1061"/>
      <c r="F146" s="1061"/>
      <c r="G146" s="1061"/>
      <c r="H146" s="1061"/>
      <c r="I146" s="1061"/>
      <c r="J146" s="1061"/>
      <c r="K146" s="1061"/>
      <c r="L146" s="1061"/>
      <c r="M146" s="1061"/>
      <c r="N146" s="1061"/>
      <c r="O146" s="723"/>
      <c r="P146" s="723"/>
      <c r="Q146" s="723"/>
      <c r="R146" s="723"/>
      <c r="S146" s="723"/>
    </row>
    <row r="147" spans="1:19" customFormat="1" ht="15.6">
      <c r="A147" s="858"/>
      <c r="B147" s="1061"/>
      <c r="C147" s="1061"/>
      <c r="D147" s="1061"/>
      <c r="E147" s="1061"/>
      <c r="F147" s="1061"/>
      <c r="G147" s="1061"/>
      <c r="H147" s="1061"/>
      <c r="I147" s="1061"/>
      <c r="J147" s="1061"/>
      <c r="K147" s="1061"/>
      <c r="L147" s="1061"/>
      <c r="M147" s="1061"/>
      <c r="N147" s="1061"/>
      <c r="O147" s="723"/>
      <c r="P147" s="723"/>
      <c r="Q147" s="723"/>
      <c r="R147" s="723"/>
      <c r="S147" s="723"/>
    </row>
    <row r="148" spans="1:19" customFormat="1" ht="15.6">
      <c r="A148" s="858">
        <v>3</v>
      </c>
      <c r="B148" s="1061" t="s">
        <v>2396</v>
      </c>
      <c r="C148" s="1061"/>
      <c r="D148" s="1061"/>
      <c r="E148" s="1061"/>
      <c r="F148" s="1061"/>
      <c r="G148" s="1061"/>
      <c r="H148" s="1061"/>
      <c r="I148" s="1061"/>
      <c r="J148" s="1061"/>
      <c r="K148" s="1061"/>
      <c r="L148" s="1061"/>
      <c r="M148" s="1061"/>
      <c r="N148" s="1061"/>
      <c r="O148" s="723"/>
      <c r="P148" s="723"/>
      <c r="Q148" s="723"/>
      <c r="R148" s="723"/>
      <c r="S148" s="723"/>
    </row>
    <row r="149" spans="1:19" customFormat="1" ht="15.6">
      <c r="A149" s="858"/>
      <c r="B149" s="1061"/>
      <c r="C149" s="1061"/>
      <c r="D149" s="1061"/>
      <c r="E149" s="1061"/>
      <c r="F149" s="1061"/>
      <c r="G149" s="1061"/>
      <c r="H149" s="1061"/>
      <c r="I149" s="1061"/>
      <c r="J149" s="1061"/>
      <c r="K149" s="1061"/>
      <c r="L149" s="1061"/>
      <c r="M149" s="1061"/>
      <c r="N149" s="1061"/>
      <c r="O149" s="723"/>
      <c r="P149" s="723"/>
      <c r="Q149" s="723"/>
      <c r="R149" s="723"/>
      <c r="S149" s="723"/>
    </row>
    <row r="150" spans="1:19" customFormat="1" ht="15.6">
      <c r="A150" s="858">
        <v>4</v>
      </c>
      <c r="B150" s="1061" t="s">
        <v>2397</v>
      </c>
      <c r="C150" s="1061"/>
      <c r="D150" s="1061"/>
      <c r="E150" s="1061"/>
      <c r="F150" s="1061"/>
      <c r="G150" s="1061"/>
      <c r="H150" s="1061"/>
      <c r="I150" s="1061"/>
      <c r="J150" s="1061"/>
      <c r="K150" s="1061"/>
      <c r="L150" s="1061"/>
      <c r="M150" s="1061"/>
      <c r="N150" s="1061"/>
      <c r="O150" s="723"/>
      <c r="P150" s="723"/>
      <c r="Q150" s="723"/>
      <c r="R150" s="723"/>
      <c r="S150" s="723"/>
    </row>
    <row r="151" spans="1:19" customFormat="1" ht="15.6">
      <c r="A151" s="858"/>
      <c r="B151" s="1061"/>
      <c r="C151" s="1061"/>
      <c r="D151" s="1061"/>
      <c r="E151" s="1061"/>
      <c r="F151" s="1061"/>
      <c r="G151" s="1061"/>
      <c r="H151" s="1061"/>
      <c r="I151" s="1061"/>
      <c r="J151" s="1061"/>
      <c r="K151" s="1061"/>
      <c r="L151" s="1061"/>
      <c r="M151" s="1061"/>
      <c r="N151" s="1061"/>
      <c r="O151" s="723"/>
      <c r="P151" s="723"/>
      <c r="Q151" s="723"/>
      <c r="R151" s="723"/>
      <c r="S151" s="723"/>
    </row>
    <row r="152" spans="1:19" customFormat="1" ht="15.6">
      <c r="A152" s="858"/>
      <c r="B152" s="1061"/>
      <c r="C152" s="1061"/>
      <c r="D152" s="1061"/>
      <c r="E152" s="1061"/>
      <c r="F152" s="1061"/>
      <c r="G152" s="1061"/>
      <c r="H152" s="1061"/>
      <c r="I152" s="1061"/>
      <c r="J152" s="1061"/>
      <c r="K152" s="1061"/>
      <c r="L152" s="1061"/>
      <c r="M152" s="1061"/>
      <c r="N152" s="1061"/>
      <c r="O152" s="723"/>
      <c r="P152" s="723"/>
      <c r="Q152" s="723"/>
      <c r="R152" s="723"/>
      <c r="S152" s="723"/>
    </row>
    <row r="153" spans="1:19" customFormat="1" ht="15.6">
      <c r="A153" s="858"/>
      <c r="B153" s="1061"/>
      <c r="C153" s="1061"/>
      <c r="D153" s="1061"/>
      <c r="E153" s="1061"/>
      <c r="F153" s="1061"/>
      <c r="G153" s="1061"/>
      <c r="H153" s="1061"/>
      <c r="I153" s="1061"/>
      <c r="J153" s="1061"/>
      <c r="K153" s="1061"/>
      <c r="L153" s="1061"/>
      <c r="M153" s="1061"/>
      <c r="N153" s="1061"/>
      <c r="O153" s="723"/>
      <c r="P153" s="723"/>
      <c r="Q153" s="723"/>
      <c r="R153" s="723"/>
      <c r="S153" s="723"/>
    </row>
    <row r="154" spans="1:19" s="860" customFormat="1" ht="9">
      <c r="A154" s="859"/>
      <c r="B154" s="1061"/>
      <c r="C154" s="1061"/>
      <c r="D154" s="1061"/>
      <c r="E154" s="1061"/>
      <c r="F154" s="1061"/>
      <c r="G154" s="1061"/>
      <c r="H154" s="1061"/>
      <c r="I154" s="1061"/>
      <c r="J154" s="1061"/>
      <c r="K154" s="1061"/>
      <c r="L154" s="1061"/>
      <c r="M154" s="1061"/>
      <c r="N154" s="1061"/>
      <c r="O154" s="754"/>
      <c r="P154" s="754"/>
      <c r="Q154" s="754"/>
      <c r="R154" s="754"/>
      <c r="S154" s="754"/>
    </row>
    <row r="155" spans="1:19" customFormat="1" ht="15.6">
      <c r="A155" s="858">
        <v>5</v>
      </c>
      <c r="B155" s="1073" t="s">
        <v>2398</v>
      </c>
      <c r="C155" s="1073"/>
      <c r="D155" s="1073"/>
      <c r="E155" s="1073"/>
      <c r="F155" s="1073"/>
      <c r="G155" s="1073"/>
      <c r="H155" s="1073"/>
      <c r="I155" s="1073"/>
      <c r="J155" s="1073"/>
      <c r="K155" s="1073"/>
      <c r="L155" s="1073"/>
      <c r="M155" s="1073"/>
      <c r="N155" s="1073"/>
      <c r="O155" s="723"/>
      <c r="P155" s="723"/>
      <c r="Q155" s="723"/>
      <c r="R155" s="723"/>
      <c r="S155" s="723"/>
    </row>
    <row r="156" spans="1:19" customFormat="1" ht="15.6">
      <c r="A156" s="858">
        <v>6</v>
      </c>
      <c r="B156" s="968" t="s">
        <v>2399</v>
      </c>
      <c r="C156" s="968"/>
      <c r="D156" s="968"/>
      <c r="E156" s="968"/>
      <c r="F156" s="968"/>
      <c r="G156" s="968"/>
      <c r="H156" s="968"/>
      <c r="I156" s="968"/>
      <c r="J156" s="968"/>
      <c r="K156" s="968"/>
      <c r="L156" s="968"/>
      <c r="M156" s="968"/>
      <c r="N156" s="968"/>
      <c r="O156" s="723"/>
      <c r="P156" s="723"/>
      <c r="Q156" s="723"/>
      <c r="R156" s="723"/>
      <c r="S156" s="723"/>
    </row>
    <row r="157" spans="1:19" customFormat="1" ht="15.6">
      <c r="A157" s="858"/>
      <c r="B157" s="968"/>
      <c r="C157" s="968"/>
      <c r="D157" s="968"/>
      <c r="E157" s="968"/>
      <c r="F157" s="968"/>
      <c r="G157" s="968"/>
      <c r="H157" s="968"/>
      <c r="I157" s="968"/>
      <c r="J157" s="968"/>
      <c r="K157" s="968"/>
      <c r="L157" s="968"/>
      <c r="M157" s="968"/>
      <c r="N157" s="968"/>
      <c r="O157" s="723"/>
      <c r="P157" s="723"/>
      <c r="Q157" s="723"/>
      <c r="R157" s="723"/>
      <c r="S157" s="723"/>
    </row>
    <row r="158" spans="1:19" customFormat="1">
      <c r="A158" s="723"/>
      <c r="B158" s="968"/>
      <c r="C158" s="968"/>
      <c r="D158" s="968"/>
      <c r="E158" s="968"/>
      <c r="F158" s="968"/>
      <c r="G158" s="968"/>
      <c r="H158" s="968"/>
      <c r="I158" s="968"/>
      <c r="J158" s="968"/>
      <c r="K158" s="968"/>
      <c r="L158" s="968"/>
      <c r="M158" s="968"/>
      <c r="N158" s="968"/>
      <c r="O158" s="723"/>
      <c r="P158" s="723"/>
      <c r="Q158" s="723"/>
      <c r="R158" s="723"/>
      <c r="S158" s="723"/>
    </row>
    <row r="159" spans="1:19" customFormat="1">
      <c r="A159" s="723"/>
      <c r="B159" s="723"/>
      <c r="C159" s="723"/>
      <c r="D159" s="723"/>
      <c r="E159" s="723"/>
      <c r="F159" s="824"/>
      <c r="G159" s="824"/>
      <c r="H159" s="824"/>
      <c r="I159" s="824"/>
      <c r="J159" s="824"/>
      <c r="K159" s="824"/>
      <c r="L159" s="824"/>
      <c r="M159" s="824"/>
      <c r="N159" s="723"/>
      <c r="O159" s="723"/>
      <c r="P159" s="723"/>
      <c r="Q159" s="723"/>
      <c r="R159" s="723"/>
      <c r="S159" s="723"/>
    </row>
    <row r="160" spans="1:19" customFormat="1">
      <c r="A160" s="723"/>
      <c r="B160" s="723"/>
      <c r="C160" s="723"/>
      <c r="D160" s="723"/>
      <c r="E160" s="723"/>
      <c r="F160" s="824"/>
      <c r="G160" s="824"/>
      <c r="H160" s="824"/>
      <c r="I160" s="824"/>
      <c r="J160" s="824"/>
      <c r="K160" s="824"/>
      <c r="L160" s="824"/>
      <c r="M160" s="824"/>
      <c r="N160" s="723"/>
      <c r="O160" s="723"/>
      <c r="P160" s="723"/>
      <c r="Q160" s="723"/>
      <c r="R160" s="723"/>
      <c r="S160" s="723"/>
    </row>
    <row r="161" spans="1:19" customFormat="1">
      <c r="A161" s="723"/>
      <c r="B161" s="723"/>
      <c r="C161" s="723"/>
      <c r="D161" s="723"/>
      <c r="E161" s="723"/>
      <c r="F161" s="824"/>
      <c r="G161" s="824"/>
      <c r="H161" s="824"/>
      <c r="I161" s="824"/>
      <c r="J161" s="824"/>
      <c r="K161" s="824"/>
      <c r="L161" s="824"/>
      <c r="M161" s="824"/>
      <c r="N161" s="723"/>
      <c r="O161" s="723"/>
      <c r="P161" s="723"/>
      <c r="Q161" s="723"/>
      <c r="R161" s="723"/>
      <c r="S161" s="723"/>
    </row>
    <row r="162" spans="1:19" customFormat="1">
      <c r="A162" s="723"/>
      <c r="B162" s="723"/>
      <c r="C162" s="723"/>
      <c r="D162" s="723"/>
      <c r="E162" s="723"/>
      <c r="F162" s="824"/>
      <c r="G162" s="824"/>
      <c r="H162" s="824"/>
      <c r="I162" s="824"/>
      <c r="J162" s="824"/>
      <c r="K162" s="824"/>
      <c r="L162" s="824"/>
      <c r="M162" s="824"/>
      <c r="N162" s="723"/>
      <c r="O162" s="723"/>
      <c r="P162" s="723"/>
      <c r="Q162" s="723"/>
      <c r="R162" s="723"/>
      <c r="S162" s="723"/>
    </row>
    <row r="163" spans="1:19" customFormat="1">
      <c r="A163" s="723"/>
      <c r="B163" s="723"/>
      <c r="C163" s="723"/>
      <c r="D163" s="723"/>
      <c r="E163" s="723"/>
      <c r="F163" s="824"/>
      <c r="G163" s="824"/>
      <c r="H163" s="824"/>
      <c r="I163" s="824"/>
      <c r="J163" s="824"/>
      <c r="K163" s="824"/>
      <c r="L163" s="824"/>
      <c r="M163" s="824"/>
      <c r="N163" s="723"/>
      <c r="O163" s="723"/>
      <c r="P163" s="723"/>
      <c r="Q163" s="723"/>
      <c r="R163" s="723"/>
      <c r="S163" s="723"/>
    </row>
    <row r="164" spans="1:19" customFormat="1">
      <c r="A164" s="723"/>
      <c r="B164" s="723"/>
      <c r="C164" s="723"/>
      <c r="D164" s="723"/>
      <c r="E164" s="723"/>
      <c r="F164" s="824"/>
      <c r="G164" s="824"/>
      <c r="H164" s="824"/>
      <c r="I164" s="824"/>
      <c r="J164" s="824"/>
      <c r="K164" s="824"/>
      <c r="L164" s="824"/>
      <c r="M164" s="824"/>
      <c r="N164" s="723"/>
      <c r="O164" s="723"/>
      <c r="P164" s="723"/>
      <c r="Q164" s="723"/>
      <c r="R164" s="723"/>
      <c r="S164" s="723"/>
    </row>
    <row r="165" spans="1:19" customFormat="1">
      <c r="A165" s="723"/>
      <c r="B165" s="723"/>
      <c r="C165" s="723"/>
      <c r="D165" s="723"/>
      <c r="E165" s="723"/>
      <c r="F165" s="824"/>
      <c r="G165" s="824"/>
      <c r="H165" s="824"/>
      <c r="I165" s="824"/>
      <c r="J165" s="824"/>
      <c r="K165" s="824"/>
      <c r="L165" s="824"/>
      <c r="M165" s="824"/>
      <c r="N165" s="723"/>
      <c r="O165" s="723"/>
      <c r="P165" s="723"/>
      <c r="Q165" s="723"/>
      <c r="R165" s="723"/>
      <c r="S165" s="723"/>
    </row>
    <row r="166" spans="1:19" customFormat="1">
      <c r="A166" s="723"/>
      <c r="B166" s="723"/>
      <c r="C166" s="723"/>
      <c r="D166" s="723"/>
      <c r="E166" s="723"/>
      <c r="F166" s="824"/>
      <c r="G166" s="824"/>
      <c r="H166" s="824"/>
      <c r="I166" s="824"/>
      <c r="J166" s="824"/>
      <c r="K166" s="824"/>
      <c r="L166" s="824"/>
      <c r="M166" s="824"/>
      <c r="N166" s="723"/>
      <c r="O166" s="723"/>
      <c r="P166" s="723"/>
      <c r="Q166" s="723"/>
      <c r="R166" s="723"/>
      <c r="S166" s="723"/>
    </row>
    <row r="167" spans="1:19" customFormat="1">
      <c r="A167" s="723"/>
      <c r="B167" s="723"/>
      <c r="C167" s="723"/>
      <c r="D167" s="723"/>
      <c r="E167" s="723"/>
      <c r="F167" s="824"/>
      <c r="G167" s="824"/>
      <c r="H167" s="824"/>
      <c r="I167" s="824"/>
      <c r="J167" s="824"/>
      <c r="K167" s="824"/>
      <c r="L167" s="824"/>
      <c r="M167" s="824"/>
      <c r="N167" s="723"/>
      <c r="O167" s="723"/>
      <c r="P167" s="723"/>
      <c r="Q167" s="723"/>
      <c r="R167" s="723"/>
      <c r="S167" s="723"/>
    </row>
    <row r="168" spans="1:19" customFormat="1">
      <c r="A168" s="723"/>
      <c r="B168" s="723"/>
      <c r="C168" s="723"/>
      <c r="D168" s="723"/>
      <c r="E168" s="723"/>
      <c r="F168" s="824"/>
      <c r="G168" s="824"/>
      <c r="H168" s="824"/>
      <c r="I168" s="824"/>
      <c r="J168" s="824"/>
      <c r="K168" s="824"/>
      <c r="L168" s="824"/>
      <c r="M168" s="824"/>
      <c r="N168" s="723"/>
      <c r="O168" s="723"/>
      <c r="P168" s="723"/>
      <c r="Q168" s="723"/>
      <c r="R168" s="723"/>
      <c r="S168" s="723"/>
    </row>
    <row r="169" spans="1:19" customFormat="1">
      <c r="A169" s="723"/>
      <c r="B169" s="723"/>
      <c r="C169" s="723"/>
      <c r="D169" s="723"/>
      <c r="E169" s="723"/>
      <c r="F169" s="824"/>
      <c r="G169" s="824"/>
      <c r="H169" s="824"/>
      <c r="I169" s="824"/>
      <c r="J169" s="824"/>
      <c r="K169" s="824"/>
      <c r="L169" s="824"/>
      <c r="M169" s="824"/>
      <c r="N169" s="723"/>
      <c r="O169" s="723"/>
      <c r="P169" s="723"/>
      <c r="Q169" s="723"/>
      <c r="R169" s="723"/>
      <c r="S169" s="723"/>
    </row>
    <row r="170" spans="1:19" customFormat="1">
      <c r="A170" s="723"/>
      <c r="B170" s="723"/>
      <c r="C170" s="723"/>
      <c r="D170" s="723"/>
      <c r="E170" s="723"/>
      <c r="F170" s="824"/>
      <c r="G170" s="824"/>
      <c r="H170" s="824"/>
      <c r="I170" s="824"/>
      <c r="J170" s="824"/>
      <c r="K170" s="824"/>
      <c r="L170" s="824"/>
      <c r="M170" s="824"/>
      <c r="N170" s="723"/>
      <c r="O170" s="723"/>
      <c r="P170" s="723"/>
      <c r="Q170" s="723"/>
      <c r="R170" s="723"/>
      <c r="S170" s="723"/>
    </row>
    <row r="171" spans="1:19" customFormat="1">
      <c r="A171" s="723"/>
      <c r="B171" s="723"/>
      <c r="C171" s="723"/>
      <c r="D171" s="723"/>
      <c r="E171" s="723"/>
      <c r="F171" s="824"/>
      <c r="G171" s="824"/>
      <c r="H171" s="824"/>
      <c r="I171" s="824"/>
      <c r="J171" s="824"/>
      <c r="K171" s="824"/>
      <c r="L171" s="824"/>
      <c r="M171" s="824"/>
      <c r="N171" s="723"/>
      <c r="O171" s="723"/>
      <c r="P171" s="723"/>
      <c r="Q171" s="723"/>
      <c r="R171" s="723"/>
      <c r="S171" s="723"/>
    </row>
    <row r="172" spans="1:19" customFormat="1">
      <c r="A172" s="723"/>
      <c r="B172" s="723"/>
      <c r="C172" s="723"/>
      <c r="D172" s="723"/>
      <c r="E172" s="723"/>
      <c r="F172" s="824"/>
      <c r="G172" s="824"/>
      <c r="H172" s="824"/>
      <c r="I172" s="824"/>
      <c r="J172" s="824"/>
      <c r="K172" s="824"/>
      <c r="L172" s="824"/>
      <c r="M172" s="824"/>
      <c r="N172" s="723"/>
      <c r="O172" s="723"/>
      <c r="P172" s="723"/>
      <c r="Q172" s="723"/>
      <c r="R172" s="723"/>
      <c r="S172" s="723"/>
    </row>
    <row r="173" spans="1:19" customFormat="1">
      <c r="A173" s="723"/>
      <c r="B173" s="723"/>
      <c r="C173" s="723"/>
      <c r="D173" s="723"/>
      <c r="E173" s="723"/>
      <c r="F173" s="824"/>
      <c r="G173" s="824"/>
      <c r="H173" s="824"/>
      <c r="I173" s="824"/>
      <c r="J173" s="824"/>
      <c r="K173" s="824"/>
      <c r="L173" s="824"/>
      <c r="M173" s="824"/>
      <c r="N173" s="723"/>
      <c r="O173" s="723"/>
      <c r="P173" s="723"/>
      <c r="Q173" s="723"/>
      <c r="R173" s="723"/>
      <c r="S173" s="723"/>
    </row>
    <row r="174" spans="1:19" customFormat="1">
      <c r="A174" s="723"/>
      <c r="B174" s="723"/>
      <c r="C174" s="723"/>
      <c r="D174" s="723"/>
      <c r="E174" s="723"/>
      <c r="F174" s="824"/>
      <c r="G174" s="824"/>
      <c r="H174" s="824"/>
      <c r="I174" s="824"/>
      <c r="J174" s="824"/>
      <c r="K174" s="824"/>
      <c r="L174" s="824"/>
      <c r="M174" s="824"/>
      <c r="N174" s="723"/>
      <c r="O174" s="723"/>
      <c r="P174" s="723"/>
      <c r="Q174" s="723"/>
      <c r="R174" s="723"/>
      <c r="S174" s="723"/>
    </row>
    <row r="175" spans="1:19" customFormat="1">
      <c r="A175" s="723"/>
      <c r="B175" s="723"/>
      <c r="C175" s="723"/>
      <c r="D175" s="723"/>
      <c r="E175" s="723"/>
      <c r="F175" s="824"/>
      <c r="G175" s="824"/>
      <c r="H175" s="824"/>
      <c r="I175" s="824"/>
      <c r="J175" s="824"/>
      <c r="K175" s="824"/>
      <c r="L175" s="824"/>
      <c r="M175" s="824"/>
      <c r="N175" s="723"/>
      <c r="O175" s="723"/>
      <c r="P175" s="723"/>
      <c r="Q175" s="723"/>
      <c r="R175" s="723"/>
      <c r="S175" s="723"/>
    </row>
    <row r="176" spans="1:19" customFormat="1">
      <c r="A176" s="723"/>
      <c r="B176" s="723"/>
      <c r="C176" s="723"/>
      <c r="D176" s="723"/>
      <c r="E176" s="723"/>
      <c r="F176" s="824"/>
      <c r="G176" s="824"/>
      <c r="H176" s="824"/>
      <c r="I176" s="824"/>
      <c r="J176" s="824"/>
      <c r="K176" s="824"/>
      <c r="L176" s="824"/>
      <c r="M176" s="824"/>
      <c r="N176" s="723"/>
      <c r="O176" s="723"/>
      <c r="P176" s="723"/>
      <c r="Q176" s="723"/>
      <c r="R176" s="723"/>
      <c r="S176" s="723"/>
    </row>
    <row r="177" spans="1:19" customFormat="1">
      <c r="A177" s="723"/>
      <c r="B177" s="723"/>
      <c r="C177" s="723"/>
      <c r="D177" s="723"/>
      <c r="E177" s="723"/>
      <c r="F177" s="824"/>
      <c r="G177" s="824"/>
      <c r="H177" s="824"/>
      <c r="I177" s="824"/>
      <c r="J177" s="824"/>
      <c r="K177" s="824"/>
      <c r="L177" s="824"/>
      <c r="M177" s="824"/>
      <c r="N177" s="723"/>
      <c r="O177" s="723"/>
      <c r="P177" s="723"/>
      <c r="Q177" s="723"/>
      <c r="R177" s="723"/>
      <c r="S177" s="723"/>
    </row>
    <row r="178" spans="1:19" customFormat="1">
      <c r="A178" s="723"/>
      <c r="B178" s="723"/>
      <c r="C178" s="723"/>
      <c r="D178" s="723"/>
      <c r="E178" s="723"/>
      <c r="F178" s="824"/>
      <c r="G178" s="824"/>
      <c r="H178" s="824"/>
      <c r="I178" s="824"/>
      <c r="J178" s="824"/>
      <c r="K178" s="824"/>
      <c r="L178" s="824"/>
      <c r="M178" s="824"/>
      <c r="N178" s="723"/>
      <c r="O178" s="723"/>
      <c r="P178" s="723"/>
      <c r="Q178" s="723"/>
      <c r="R178" s="723"/>
      <c r="S178" s="723"/>
    </row>
    <row r="179" spans="1:19" customFormat="1">
      <c r="A179" s="723"/>
      <c r="B179" s="723"/>
      <c r="C179" s="723"/>
      <c r="D179" s="723"/>
      <c r="E179" s="723"/>
      <c r="F179" s="824"/>
      <c r="G179" s="824"/>
      <c r="H179" s="824"/>
      <c r="I179" s="824"/>
      <c r="J179" s="824"/>
      <c r="K179" s="824"/>
      <c r="L179" s="824"/>
      <c r="M179" s="824"/>
      <c r="N179" s="723"/>
      <c r="O179" s="723"/>
      <c r="P179" s="723"/>
      <c r="Q179" s="723"/>
      <c r="R179" s="723"/>
      <c r="S179" s="723"/>
    </row>
    <row r="180" spans="1:19" customFormat="1">
      <c r="A180" s="723"/>
      <c r="B180" s="723"/>
      <c r="C180" s="723"/>
      <c r="D180" s="723"/>
      <c r="E180" s="723"/>
      <c r="F180" s="824"/>
      <c r="G180" s="824"/>
      <c r="H180" s="824"/>
      <c r="I180" s="824"/>
      <c r="J180" s="824"/>
      <c r="K180" s="824"/>
      <c r="L180" s="824"/>
      <c r="M180" s="824"/>
      <c r="N180" s="723"/>
      <c r="O180" s="723"/>
      <c r="P180" s="723"/>
      <c r="Q180" s="723"/>
      <c r="R180" s="723"/>
      <c r="S180" s="723"/>
    </row>
    <row r="181" spans="1:19" customFormat="1">
      <c r="A181" s="723"/>
      <c r="B181" s="723"/>
      <c r="C181" s="723"/>
      <c r="D181" s="723"/>
      <c r="E181" s="723"/>
      <c r="F181" s="824"/>
      <c r="G181" s="824"/>
      <c r="H181" s="824"/>
      <c r="I181" s="824"/>
      <c r="J181" s="824"/>
      <c r="K181" s="824"/>
      <c r="L181" s="824"/>
      <c r="M181" s="824"/>
      <c r="N181" s="723"/>
      <c r="O181" s="723"/>
      <c r="P181" s="723"/>
      <c r="Q181" s="723"/>
      <c r="R181" s="723"/>
      <c r="S181" s="723"/>
    </row>
    <row r="182" spans="1:19" customFormat="1">
      <c r="A182" s="723"/>
      <c r="B182" s="723"/>
      <c r="C182" s="723"/>
      <c r="D182" s="723"/>
      <c r="E182" s="723"/>
      <c r="F182" s="824"/>
      <c r="G182" s="824"/>
      <c r="H182" s="824"/>
      <c r="I182" s="824"/>
      <c r="J182" s="824"/>
      <c r="K182" s="824"/>
      <c r="L182" s="824"/>
      <c r="M182" s="824"/>
      <c r="N182" s="723"/>
      <c r="O182" s="723"/>
      <c r="P182" s="723"/>
      <c r="Q182" s="723"/>
      <c r="R182" s="723"/>
      <c r="S182" s="723"/>
    </row>
    <row r="183" spans="1:19" customFormat="1">
      <c r="A183" s="723"/>
      <c r="B183" s="723"/>
      <c r="C183" s="723"/>
      <c r="D183" s="723"/>
      <c r="E183" s="723"/>
      <c r="F183" s="824"/>
      <c r="G183" s="824"/>
      <c r="H183" s="824"/>
      <c r="I183" s="824"/>
      <c r="J183" s="824"/>
      <c r="K183" s="824"/>
      <c r="L183" s="824"/>
      <c r="M183" s="824"/>
      <c r="N183" s="723"/>
      <c r="O183" s="723"/>
      <c r="P183" s="723"/>
      <c r="Q183" s="723"/>
      <c r="R183" s="723"/>
      <c r="S183" s="723"/>
    </row>
    <row r="184" spans="1:19" customFormat="1">
      <c r="A184" s="723"/>
      <c r="B184" s="723"/>
      <c r="C184" s="723"/>
      <c r="D184" s="723"/>
      <c r="E184" s="723"/>
      <c r="F184" s="824"/>
      <c r="G184" s="824"/>
      <c r="H184" s="824"/>
      <c r="I184" s="824"/>
      <c r="J184" s="824"/>
      <c r="K184" s="824"/>
      <c r="L184" s="824"/>
      <c r="M184" s="824"/>
      <c r="N184" s="723"/>
      <c r="O184" s="723"/>
      <c r="P184" s="723"/>
      <c r="Q184" s="723"/>
      <c r="R184" s="723"/>
      <c r="S184" s="723"/>
    </row>
    <row r="185" spans="1:19" customFormat="1">
      <c r="A185" s="723"/>
      <c r="B185" s="723"/>
      <c r="C185" s="723"/>
      <c r="D185" s="723"/>
      <c r="E185" s="723"/>
      <c r="F185" s="824"/>
      <c r="G185" s="824"/>
      <c r="H185" s="824"/>
      <c r="I185" s="824"/>
      <c r="J185" s="824"/>
      <c r="K185" s="824"/>
      <c r="L185" s="824"/>
      <c r="M185" s="824"/>
      <c r="N185" s="723"/>
      <c r="O185" s="723"/>
      <c r="P185" s="723"/>
      <c r="Q185" s="723"/>
      <c r="R185" s="723"/>
      <c r="S185" s="723"/>
    </row>
    <row r="186" spans="1:19" customFormat="1">
      <c r="A186" s="723"/>
      <c r="B186" s="723"/>
      <c r="C186" s="723"/>
      <c r="D186" s="723"/>
      <c r="E186" s="723"/>
      <c r="F186" s="824"/>
      <c r="G186" s="824"/>
      <c r="H186" s="824"/>
      <c r="I186" s="824"/>
      <c r="J186" s="824"/>
      <c r="K186" s="824"/>
      <c r="L186" s="824"/>
      <c r="M186" s="824"/>
      <c r="N186" s="723"/>
      <c r="O186" s="723"/>
      <c r="P186" s="723"/>
      <c r="Q186" s="723"/>
      <c r="R186" s="723"/>
      <c r="S186" s="723"/>
    </row>
    <row r="187" spans="1:19" customFormat="1">
      <c r="A187" s="723"/>
      <c r="B187" s="723"/>
      <c r="C187" s="723"/>
      <c r="D187" s="723"/>
      <c r="E187" s="723"/>
      <c r="F187" s="824"/>
      <c r="G187" s="824"/>
      <c r="H187" s="824"/>
      <c r="I187" s="824"/>
      <c r="J187" s="824"/>
      <c r="K187" s="824"/>
      <c r="L187" s="824"/>
      <c r="M187" s="824"/>
      <c r="N187" s="723"/>
      <c r="O187" s="723"/>
      <c r="P187" s="723"/>
      <c r="Q187" s="723"/>
      <c r="R187" s="723"/>
      <c r="S187" s="723"/>
    </row>
    <row r="188" spans="1:19" customFormat="1">
      <c r="A188" s="723"/>
      <c r="B188" s="723"/>
      <c r="C188" s="723"/>
      <c r="D188" s="723"/>
      <c r="E188" s="723"/>
      <c r="F188" s="824"/>
      <c r="G188" s="824"/>
      <c r="H188" s="824"/>
      <c r="I188" s="824"/>
      <c r="J188" s="824"/>
      <c r="K188" s="824"/>
      <c r="L188" s="824"/>
      <c r="M188" s="824"/>
      <c r="N188" s="723"/>
      <c r="O188" s="723"/>
      <c r="P188" s="723"/>
      <c r="Q188" s="723"/>
      <c r="R188" s="723"/>
      <c r="S188" s="723"/>
    </row>
    <row r="189" spans="1:19" customFormat="1">
      <c r="A189" s="723"/>
      <c r="B189" s="723"/>
      <c r="C189" s="723"/>
      <c r="D189" s="723"/>
      <c r="E189" s="723"/>
      <c r="F189" s="824"/>
      <c r="G189" s="824"/>
      <c r="H189" s="824"/>
      <c r="I189" s="824"/>
      <c r="J189" s="824"/>
      <c r="K189" s="824"/>
      <c r="L189" s="824"/>
      <c r="M189" s="824"/>
      <c r="N189" s="723"/>
      <c r="O189" s="723"/>
      <c r="P189" s="723"/>
      <c r="Q189" s="723"/>
      <c r="R189" s="723"/>
      <c r="S189" s="723"/>
    </row>
    <row r="190" spans="1:19" customFormat="1">
      <c r="A190" s="723"/>
      <c r="B190" s="723"/>
      <c r="C190" s="723"/>
      <c r="D190" s="723"/>
      <c r="E190" s="723"/>
      <c r="F190" s="824"/>
      <c r="G190" s="824"/>
      <c r="H190" s="824"/>
      <c r="I190" s="824"/>
      <c r="J190" s="824"/>
      <c r="K190" s="824"/>
      <c r="L190" s="824"/>
      <c r="M190" s="824"/>
      <c r="N190" s="723"/>
      <c r="O190" s="723"/>
      <c r="P190" s="723"/>
      <c r="Q190" s="723"/>
      <c r="R190" s="723"/>
      <c r="S190" s="723"/>
    </row>
    <row r="191" spans="1:19" customFormat="1">
      <c r="A191" s="723"/>
      <c r="B191" s="723"/>
      <c r="C191" s="723"/>
      <c r="D191" s="723"/>
      <c r="E191" s="723"/>
      <c r="F191" s="824"/>
      <c r="G191" s="824"/>
      <c r="H191" s="824"/>
      <c r="I191" s="824"/>
      <c r="J191" s="824"/>
      <c r="K191" s="824"/>
      <c r="L191" s="824"/>
      <c r="M191" s="824"/>
      <c r="N191" s="723"/>
      <c r="O191" s="723"/>
      <c r="P191" s="723"/>
      <c r="Q191" s="723"/>
      <c r="R191" s="723"/>
      <c r="S191" s="723"/>
    </row>
    <row r="192" spans="1:19" customFormat="1">
      <c r="A192" s="723"/>
      <c r="B192" s="723"/>
      <c r="C192" s="723"/>
      <c r="D192" s="723"/>
      <c r="E192" s="723"/>
      <c r="F192" s="824"/>
      <c r="G192" s="824"/>
      <c r="H192" s="824"/>
      <c r="I192" s="824"/>
      <c r="J192" s="824"/>
      <c r="K192" s="824"/>
      <c r="L192" s="824"/>
      <c r="M192" s="824"/>
      <c r="N192" s="723"/>
      <c r="O192" s="723"/>
      <c r="P192" s="723"/>
      <c r="Q192" s="723"/>
      <c r="R192" s="723"/>
      <c r="S192" s="723"/>
    </row>
    <row r="193" spans="1:19" customFormat="1">
      <c r="A193" s="723"/>
      <c r="B193" s="723"/>
      <c r="C193" s="723"/>
      <c r="D193" s="723"/>
      <c r="E193" s="723"/>
      <c r="F193" s="824"/>
      <c r="G193" s="824"/>
      <c r="H193" s="824"/>
      <c r="I193" s="824"/>
      <c r="J193" s="824"/>
      <c r="K193" s="824"/>
      <c r="L193" s="824"/>
      <c r="M193" s="824"/>
      <c r="N193" s="723"/>
      <c r="O193" s="723"/>
      <c r="P193" s="723"/>
      <c r="Q193" s="723"/>
      <c r="R193" s="723"/>
      <c r="S193" s="723"/>
    </row>
    <row r="194" spans="1:19" customFormat="1">
      <c r="A194" s="723"/>
      <c r="B194" s="723"/>
      <c r="C194" s="723"/>
      <c r="D194" s="723"/>
      <c r="E194" s="723"/>
      <c r="F194" s="824"/>
      <c r="G194" s="824"/>
      <c r="H194" s="824"/>
      <c r="I194" s="824"/>
      <c r="J194" s="824"/>
      <c r="K194" s="824"/>
      <c r="L194" s="824"/>
      <c r="M194" s="824"/>
      <c r="N194" s="723"/>
      <c r="O194" s="723"/>
      <c r="P194" s="723"/>
      <c r="Q194" s="723"/>
      <c r="R194" s="723"/>
      <c r="S194" s="723"/>
    </row>
    <row r="195" spans="1:19" customFormat="1">
      <c r="A195" s="723"/>
      <c r="B195" s="723"/>
      <c r="C195" s="723"/>
      <c r="D195" s="723"/>
      <c r="E195" s="723"/>
      <c r="F195" s="824"/>
      <c r="G195" s="824"/>
      <c r="H195" s="824"/>
      <c r="I195" s="824"/>
      <c r="J195" s="824"/>
      <c r="K195" s="824"/>
      <c r="L195" s="824"/>
      <c r="M195" s="824"/>
      <c r="N195" s="723"/>
      <c r="O195" s="723"/>
      <c r="P195" s="723"/>
      <c r="Q195" s="723"/>
      <c r="R195" s="723"/>
      <c r="S195" s="723"/>
    </row>
    <row r="196" spans="1:19" customFormat="1">
      <c r="A196" s="723"/>
      <c r="B196" s="723"/>
      <c r="C196" s="723"/>
      <c r="D196" s="723"/>
      <c r="E196" s="723"/>
      <c r="F196" s="824"/>
      <c r="G196" s="824"/>
      <c r="H196" s="824"/>
      <c r="I196" s="824"/>
      <c r="J196" s="824"/>
      <c r="K196" s="824"/>
      <c r="L196" s="824"/>
      <c r="M196" s="824"/>
      <c r="N196" s="723"/>
      <c r="O196" s="723"/>
      <c r="P196" s="723"/>
      <c r="Q196" s="723"/>
      <c r="R196" s="723"/>
      <c r="S196" s="723"/>
    </row>
    <row r="197" spans="1:19" customFormat="1">
      <c r="A197" s="723"/>
      <c r="B197" s="723"/>
      <c r="C197" s="723"/>
      <c r="D197" s="723"/>
      <c r="E197" s="723"/>
      <c r="F197" s="824"/>
      <c r="G197" s="824"/>
      <c r="H197" s="824"/>
      <c r="I197" s="824"/>
      <c r="J197" s="824"/>
      <c r="K197" s="824"/>
      <c r="L197" s="824"/>
      <c r="M197" s="824"/>
      <c r="N197" s="723"/>
      <c r="O197" s="723"/>
      <c r="P197" s="723"/>
      <c r="Q197" s="723"/>
      <c r="R197" s="723"/>
      <c r="S197" s="723"/>
    </row>
    <row r="198" spans="1:19" customFormat="1">
      <c r="A198" s="723"/>
      <c r="B198" s="723"/>
      <c r="C198" s="723"/>
      <c r="D198" s="723"/>
      <c r="E198" s="723"/>
      <c r="F198" s="824"/>
      <c r="G198" s="824"/>
      <c r="H198" s="824"/>
      <c r="I198" s="824"/>
      <c r="J198" s="824"/>
      <c r="K198" s="824"/>
      <c r="L198" s="824"/>
      <c r="M198" s="824"/>
      <c r="N198" s="723"/>
      <c r="O198" s="723"/>
      <c r="P198" s="723"/>
      <c r="Q198" s="723"/>
      <c r="R198" s="723"/>
      <c r="S198" s="723"/>
    </row>
    <row r="199" spans="1:19" customFormat="1">
      <c r="A199" s="723"/>
      <c r="B199" s="723"/>
      <c r="C199" s="723"/>
      <c r="D199" s="723"/>
      <c r="E199" s="723"/>
      <c r="F199" s="824"/>
      <c r="G199" s="824"/>
      <c r="H199" s="824"/>
      <c r="I199" s="824"/>
      <c r="J199" s="824"/>
      <c r="K199" s="824"/>
      <c r="L199" s="824"/>
      <c r="M199" s="824"/>
      <c r="N199" s="723"/>
      <c r="O199" s="723"/>
      <c r="P199" s="723"/>
      <c r="Q199" s="723"/>
      <c r="R199" s="723"/>
      <c r="S199" s="723"/>
    </row>
    <row r="200" spans="1:19" customFormat="1">
      <c r="A200" s="723"/>
      <c r="B200" s="723"/>
      <c r="C200" s="723"/>
      <c r="D200" s="723"/>
      <c r="E200" s="723"/>
      <c r="F200" s="824"/>
      <c r="G200" s="824"/>
      <c r="H200" s="824"/>
      <c r="I200" s="824"/>
      <c r="J200" s="824"/>
      <c r="K200" s="824"/>
      <c r="L200" s="824"/>
      <c r="M200" s="824"/>
      <c r="N200" s="723"/>
      <c r="O200" s="723"/>
      <c r="P200" s="723"/>
      <c r="Q200" s="723"/>
      <c r="R200" s="723"/>
      <c r="S200" s="723"/>
    </row>
    <row r="201" spans="1:19" customFormat="1">
      <c r="A201" s="723"/>
      <c r="B201" s="723"/>
      <c r="C201" s="723"/>
      <c r="D201" s="723"/>
      <c r="E201" s="723"/>
      <c r="F201" s="824"/>
      <c r="G201" s="824"/>
      <c r="H201" s="824"/>
      <c r="I201" s="824"/>
      <c r="J201" s="824"/>
      <c r="K201" s="824"/>
      <c r="L201" s="824"/>
      <c r="M201" s="824"/>
      <c r="N201" s="723"/>
      <c r="O201" s="723"/>
      <c r="P201" s="723"/>
      <c r="Q201" s="723"/>
      <c r="R201" s="723"/>
      <c r="S201" s="723"/>
    </row>
    <row r="202" spans="1:19" customFormat="1">
      <c r="A202" s="723"/>
      <c r="B202" s="723"/>
      <c r="C202" s="723"/>
      <c r="D202" s="723"/>
      <c r="E202" s="723"/>
      <c r="F202" s="824"/>
      <c r="G202" s="824"/>
      <c r="H202" s="824"/>
      <c r="I202" s="824"/>
      <c r="J202" s="824"/>
      <c r="K202" s="824"/>
      <c r="L202" s="824"/>
      <c r="M202" s="824"/>
      <c r="N202" s="723"/>
      <c r="O202" s="723"/>
      <c r="P202" s="723"/>
      <c r="Q202" s="723"/>
      <c r="R202" s="723"/>
      <c r="S202" s="723"/>
    </row>
    <row r="203" spans="1:19" customFormat="1">
      <c r="A203" s="723"/>
      <c r="B203" s="723"/>
      <c r="C203" s="723"/>
      <c r="D203" s="723"/>
      <c r="E203" s="723"/>
      <c r="F203" s="824"/>
      <c r="G203" s="824"/>
      <c r="H203" s="824"/>
      <c r="I203" s="824"/>
      <c r="J203" s="824"/>
      <c r="K203" s="824"/>
      <c r="L203" s="824"/>
      <c r="M203" s="824"/>
      <c r="N203" s="723"/>
      <c r="O203" s="723"/>
      <c r="P203" s="723"/>
      <c r="Q203" s="723"/>
      <c r="R203" s="723"/>
      <c r="S203" s="723"/>
    </row>
    <row r="204" spans="1:19" customFormat="1">
      <c r="A204" s="723"/>
      <c r="B204" s="723"/>
      <c r="C204" s="723"/>
      <c r="D204" s="723"/>
      <c r="E204" s="723"/>
      <c r="F204" s="824"/>
      <c r="G204" s="824"/>
      <c r="H204" s="824"/>
      <c r="I204" s="824"/>
      <c r="J204" s="824"/>
      <c r="K204" s="824"/>
      <c r="L204" s="824"/>
      <c r="M204" s="824"/>
      <c r="N204" s="723"/>
      <c r="O204" s="723"/>
      <c r="P204" s="723"/>
      <c r="Q204" s="723"/>
      <c r="R204" s="723"/>
      <c r="S204" s="723"/>
    </row>
    <row r="205" spans="1:19" customFormat="1">
      <c r="A205" s="723"/>
      <c r="B205" s="723"/>
      <c r="C205" s="723"/>
      <c r="D205" s="723"/>
      <c r="E205" s="723"/>
      <c r="F205" s="824"/>
      <c r="G205" s="824"/>
      <c r="H205" s="824"/>
      <c r="I205" s="824"/>
      <c r="J205" s="824"/>
      <c r="K205" s="824"/>
      <c r="L205" s="824"/>
      <c r="M205" s="824"/>
      <c r="N205" s="723"/>
      <c r="O205" s="723"/>
      <c r="P205" s="723"/>
      <c r="Q205" s="723"/>
      <c r="R205" s="723"/>
      <c r="S205" s="723"/>
    </row>
    <row r="206" spans="1:19" customFormat="1">
      <c r="A206" s="723"/>
      <c r="B206" s="723"/>
      <c r="C206" s="723"/>
      <c r="D206" s="723"/>
      <c r="E206" s="723"/>
      <c r="F206" s="824"/>
      <c r="G206" s="824"/>
      <c r="H206" s="824"/>
      <c r="I206" s="824"/>
      <c r="J206" s="824"/>
      <c r="K206" s="824"/>
      <c r="L206" s="824"/>
      <c r="M206" s="824"/>
      <c r="N206" s="723"/>
      <c r="O206" s="723"/>
      <c r="P206" s="723"/>
      <c r="Q206" s="723"/>
      <c r="R206" s="723"/>
      <c r="S206" s="723"/>
    </row>
    <row r="207" spans="1:19" customFormat="1">
      <c r="A207" s="723"/>
      <c r="B207" s="723"/>
      <c r="C207" s="723"/>
      <c r="D207" s="723"/>
      <c r="E207" s="723"/>
      <c r="F207" s="824"/>
      <c r="G207" s="824"/>
      <c r="H207" s="824"/>
      <c r="I207" s="824"/>
      <c r="J207" s="824"/>
      <c r="K207" s="824"/>
      <c r="L207" s="824"/>
      <c r="M207" s="824"/>
      <c r="N207" s="723"/>
      <c r="O207" s="723"/>
      <c r="P207" s="723"/>
      <c r="Q207" s="723"/>
      <c r="R207" s="723"/>
      <c r="S207" s="723"/>
    </row>
    <row r="208" spans="1:19" customFormat="1">
      <c r="A208" s="723"/>
      <c r="B208" s="723"/>
      <c r="C208" s="723"/>
      <c r="D208" s="723"/>
      <c r="E208" s="723"/>
      <c r="F208" s="824"/>
      <c r="G208" s="824"/>
      <c r="H208" s="824"/>
      <c r="I208" s="824"/>
      <c r="J208" s="824"/>
      <c r="K208" s="824"/>
      <c r="L208" s="824"/>
      <c r="M208" s="824"/>
      <c r="N208" s="723"/>
      <c r="O208" s="723"/>
      <c r="P208" s="723"/>
      <c r="Q208" s="723"/>
      <c r="R208" s="723"/>
      <c r="S208" s="723"/>
    </row>
    <row r="209" spans="1:19" customFormat="1">
      <c r="A209" s="723"/>
      <c r="B209" s="723"/>
      <c r="C209" s="723"/>
      <c r="D209" s="723"/>
      <c r="E209" s="723"/>
      <c r="F209" s="824"/>
      <c r="G209" s="824"/>
      <c r="H209" s="824"/>
      <c r="I209" s="824"/>
      <c r="J209" s="824"/>
      <c r="K209" s="824"/>
      <c r="L209" s="824"/>
      <c r="M209" s="824"/>
      <c r="N209" s="723"/>
      <c r="O209" s="723"/>
      <c r="P209" s="723"/>
      <c r="Q209" s="723"/>
      <c r="R209" s="723"/>
      <c r="S209" s="723"/>
    </row>
    <row r="210" spans="1:19" customFormat="1">
      <c r="A210" s="723"/>
      <c r="B210" s="723"/>
      <c r="C210" s="723"/>
      <c r="D210" s="723"/>
      <c r="E210" s="723"/>
      <c r="F210" s="824"/>
      <c r="G210" s="824"/>
      <c r="H210" s="824"/>
      <c r="I210" s="824"/>
      <c r="J210" s="824"/>
      <c r="K210" s="824"/>
      <c r="L210" s="824"/>
      <c r="M210" s="824"/>
      <c r="N210" s="723"/>
      <c r="O210" s="723"/>
      <c r="P210" s="723"/>
      <c r="Q210" s="723"/>
      <c r="R210" s="723"/>
      <c r="S210" s="723"/>
    </row>
    <row r="211" spans="1:19" customFormat="1">
      <c r="A211" s="723"/>
      <c r="B211" s="723"/>
      <c r="C211" s="723"/>
      <c r="D211" s="723"/>
      <c r="E211" s="723"/>
      <c r="F211" s="824"/>
      <c r="G211" s="824"/>
      <c r="H211" s="824"/>
      <c r="I211" s="824"/>
      <c r="J211" s="824"/>
      <c r="K211" s="824"/>
      <c r="L211" s="824"/>
      <c r="M211" s="824"/>
      <c r="N211" s="723"/>
      <c r="O211" s="723"/>
      <c r="P211" s="723"/>
      <c r="Q211" s="723"/>
      <c r="R211" s="723"/>
      <c r="S211" s="723"/>
    </row>
    <row r="212" spans="1:19" customFormat="1">
      <c r="A212" s="723"/>
      <c r="B212" s="723"/>
      <c r="C212" s="723"/>
      <c r="D212" s="723"/>
      <c r="E212" s="723"/>
      <c r="F212" s="824"/>
      <c r="G212" s="824"/>
      <c r="H212" s="824"/>
      <c r="I212" s="824"/>
      <c r="J212" s="824"/>
      <c r="K212" s="824"/>
      <c r="L212" s="824"/>
      <c r="M212" s="824"/>
      <c r="N212" s="723"/>
      <c r="O212" s="723"/>
      <c r="P212" s="723"/>
      <c r="Q212" s="723"/>
      <c r="R212" s="723"/>
      <c r="S212" s="723"/>
    </row>
    <row r="213" spans="1:19" customFormat="1">
      <c r="A213" s="723"/>
      <c r="B213" s="723"/>
      <c r="C213" s="723"/>
      <c r="D213" s="723"/>
      <c r="E213" s="723"/>
      <c r="F213" s="824"/>
      <c r="G213" s="824"/>
      <c r="H213" s="824"/>
      <c r="I213" s="824"/>
      <c r="J213" s="824"/>
      <c r="K213" s="824"/>
      <c r="L213" s="824"/>
      <c r="M213" s="824"/>
      <c r="N213" s="723"/>
      <c r="O213" s="723"/>
      <c r="P213" s="723"/>
      <c r="Q213" s="723"/>
      <c r="R213" s="723"/>
      <c r="S213" s="723"/>
    </row>
    <row r="214" spans="1:19" customFormat="1">
      <c r="A214" s="723"/>
      <c r="B214" s="723"/>
      <c r="C214" s="723"/>
      <c r="D214" s="723"/>
      <c r="E214" s="723"/>
      <c r="F214" s="824"/>
      <c r="G214" s="824"/>
      <c r="H214" s="824"/>
      <c r="I214" s="824"/>
      <c r="J214" s="824"/>
      <c r="K214" s="824"/>
      <c r="L214" s="824"/>
      <c r="M214" s="824"/>
      <c r="N214" s="723"/>
      <c r="O214" s="723"/>
      <c r="P214" s="723"/>
      <c r="Q214" s="723"/>
      <c r="R214" s="723"/>
      <c r="S214" s="723"/>
    </row>
    <row r="215" spans="1:19" customFormat="1">
      <c r="A215" s="723"/>
      <c r="B215" s="723"/>
      <c r="C215" s="723"/>
      <c r="D215" s="723"/>
      <c r="E215" s="723"/>
      <c r="F215" s="824"/>
      <c r="G215" s="824"/>
      <c r="H215" s="824"/>
      <c r="I215" s="824"/>
      <c r="J215" s="824"/>
      <c r="K215" s="824"/>
      <c r="L215" s="824"/>
      <c r="M215" s="824"/>
      <c r="N215" s="723"/>
      <c r="O215" s="723"/>
      <c r="P215" s="723"/>
      <c r="Q215" s="723"/>
      <c r="R215" s="723"/>
      <c r="S215" s="723"/>
    </row>
    <row r="216" spans="1:19" customFormat="1">
      <c r="A216" s="723"/>
      <c r="B216" s="723"/>
      <c r="C216" s="723"/>
      <c r="D216" s="723"/>
      <c r="E216" s="723"/>
      <c r="F216" s="824"/>
      <c r="G216" s="824"/>
      <c r="H216" s="824"/>
      <c r="I216" s="824"/>
      <c r="J216" s="824"/>
      <c r="K216" s="824"/>
      <c r="L216" s="824"/>
      <c r="M216" s="824"/>
      <c r="N216" s="723"/>
      <c r="O216" s="723"/>
      <c r="P216" s="723"/>
      <c r="Q216" s="723"/>
      <c r="R216" s="723"/>
      <c r="S216" s="723"/>
    </row>
    <row r="217" spans="1:19" customFormat="1">
      <c r="A217" s="723"/>
      <c r="B217" s="723"/>
      <c r="C217" s="723"/>
      <c r="D217" s="723"/>
      <c r="E217" s="723"/>
      <c r="F217" s="824"/>
      <c r="G217" s="824"/>
      <c r="H217" s="824"/>
      <c r="I217" s="824"/>
      <c r="J217" s="824"/>
      <c r="K217" s="824"/>
      <c r="L217" s="824"/>
      <c r="M217" s="824"/>
      <c r="N217" s="723"/>
      <c r="O217" s="723"/>
      <c r="P217" s="723"/>
      <c r="Q217" s="723"/>
      <c r="R217" s="723"/>
      <c r="S217" s="723"/>
    </row>
    <row r="218" spans="1:19" customFormat="1">
      <c r="A218" s="723"/>
      <c r="B218" s="723"/>
      <c r="C218" s="723"/>
      <c r="D218" s="723"/>
      <c r="E218" s="723"/>
      <c r="F218" s="824"/>
      <c r="G218" s="824"/>
      <c r="H218" s="824"/>
      <c r="I218" s="824"/>
      <c r="J218" s="824"/>
      <c r="K218" s="824"/>
      <c r="L218" s="824"/>
      <c r="M218" s="824"/>
      <c r="N218" s="723"/>
      <c r="O218" s="723"/>
      <c r="P218" s="723"/>
      <c r="Q218" s="723"/>
      <c r="R218" s="723"/>
      <c r="S218" s="723"/>
    </row>
    <row r="219" spans="1:19" customFormat="1">
      <c r="A219" s="723"/>
      <c r="B219" s="723"/>
      <c r="C219" s="723"/>
      <c r="D219" s="723"/>
      <c r="E219" s="723"/>
      <c r="F219" s="824"/>
      <c r="G219" s="824"/>
      <c r="H219" s="824"/>
      <c r="I219" s="824"/>
      <c r="J219" s="824"/>
      <c r="K219" s="824"/>
      <c r="L219" s="824"/>
      <c r="M219" s="824"/>
      <c r="N219" s="723"/>
      <c r="O219" s="723"/>
      <c r="P219" s="723"/>
      <c r="Q219" s="723"/>
      <c r="R219" s="723"/>
      <c r="S219" s="723"/>
    </row>
    <row r="220" spans="1:19" customFormat="1">
      <c r="A220" s="723"/>
      <c r="B220" s="723"/>
      <c r="C220" s="723"/>
      <c r="D220" s="723"/>
      <c r="E220" s="723"/>
      <c r="F220" s="824"/>
      <c r="G220" s="824"/>
      <c r="H220" s="824"/>
      <c r="I220" s="824"/>
      <c r="J220" s="824"/>
      <c r="K220" s="824"/>
      <c r="L220" s="824"/>
      <c r="M220" s="824"/>
      <c r="N220" s="723"/>
      <c r="O220" s="723"/>
      <c r="P220" s="723"/>
      <c r="Q220" s="723"/>
      <c r="R220" s="723"/>
      <c r="S220" s="723"/>
    </row>
    <row r="221" spans="1:19" customFormat="1">
      <c r="A221" s="723"/>
      <c r="B221" s="723"/>
      <c r="C221" s="723"/>
      <c r="D221" s="723"/>
      <c r="E221" s="723"/>
      <c r="F221" s="824"/>
      <c r="G221" s="824"/>
      <c r="H221" s="824"/>
      <c r="I221" s="824"/>
      <c r="J221" s="824"/>
      <c r="K221" s="824"/>
      <c r="L221" s="824"/>
      <c r="M221" s="824"/>
      <c r="N221" s="723"/>
      <c r="O221" s="723"/>
      <c r="P221" s="723"/>
      <c r="Q221" s="723"/>
      <c r="R221" s="723"/>
      <c r="S221" s="723"/>
    </row>
    <row r="222" spans="1:19" customFormat="1">
      <c r="A222" s="723"/>
      <c r="B222" s="723"/>
      <c r="C222" s="723"/>
      <c r="D222" s="723"/>
      <c r="E222" s="723"/>
      <c r="F222" s="824"/>
      <c r="G222" s="824"/>
      <c r="H222" s="824"/>
      <c r="I222" s="824"/>
      <c r="J222" s="824"/>
      <c r="K222" s="824"/>
      <c r="L222" s="824"/>
      <c r="M222" s="824"/>
      <c r="N222" s="723"/>
      <c r="O222" s="723"/>
      <c r="P222" s="723"/>
      <c r="Q222" s="723"/>
      <c r="R222" s="723"/>
      <c r="S222" s="723"/>
    </row>
    <row r="223" spans="1:19" customFormat="1">
      <c r="A223" s="723"/>
      <c r="B223" s="723"/>
      <c r="C223" s="723"/>
      <c r="D223" s="723"/>
      <c r="E223" s="723"/>
      <c r="F223" s="824"/>
      <c r="G223" s="824"/>
      <c r="H223" s="824"/>
      <c r="I223" s="824"/>
      <c r="J223" s="824"/>
      <c r="K223" s="824"/>
      <c r="L223" s="824"/>
      <c r="M223" s="824"/>
      <c r="N223" s="723"/>
      <c r="O223" s="723"/>
      <c r="P223" s="723"/>
      <c r="Q223" s="723"/>
      <c r="R223" s="723"/>
      <c r="S223" s="723"/>
    </row>
    <row r="224" spans="1:19" customFormat="1">
      <c r="A224" s="723"/>
      <c r="B224" s="723"/>
      <c r="C224" s="723"/>
      <c r="D224" s="723"/>
      <c r="E224" s="723"/>
      <c r="F224" s="824"/>
      <c r="G224" s="824"/>
      <c r="H224" s="824"/>
      <c r="I224" s="824"/>
      <c r="J224" s="824"/>
      <c r="K224" s="824"/>
      <c r="L224" s="824"/>
      <c r="M224" s="824"/>
      <c r="N224" s="723"/>
      <c r="O224" s="723"/>
      <c r="P224" s="723"/>
      <c r="Q224" s="723"/>
      <c r="R224" s="723"/>
      <c r="S224" s="723"/>
    </row>
    <row r="225" spans="1:19" customFormat="1">
      <c r="A225" s="723"/>
      <c r="B225" s="723"/>
      <c r="C225" s="723"/>
      <c r="D225" s="723"/>
      <c r="E225" s="723"/>
      <c r="F225" s="824"/>
      <c r="G225" s="824"/>
      <c r="H225" s="824"/>
      <c r="I225" s="824"/>
      <c r="J225" s="824"/>
      <c r="K225" s="824"/>
      <c r="L225" s="824"/>
      <c r="M225" s="824"/>
      <c r="N225" s="723"/>
      <c r="O225" s="723"/>
      <c r="P225" s="723"/>
      <c r="Q225" s="723"/>
      <c r="R225" s="723"/>
      <c r="S225" s="723"/>
    </row>
    <row r="226" spans="1:19" customFormat="1">
      <c r="A226" s="723"/>
      <c r="B226" s="723"/>
      <c r="C226" s="723"/>
      <c r="D226" s="723"/>
      <c r="E226" s="723"/>
      <c r="F226" s="824"/>
      <c r="G226" s="824"/>
      <c r="H226" s="824"/>
      <c r="I226" s="824"/>
      <c r="J226" s="824"/>
      <c r="K226" s="824"/>
      <c r="L226" s="824"/>
      <c r="M226" s="824"/>
      <c r="N226" s="723"/>
      <c r="O226" s="723"/>
      <c r="P226" s="723"/>
      <c r="Q226" s="723"/>
      <c r="R226" s="723"/>
      <c r="S226" s="723"/>
    </row>
    <row r="227" spans="1:19" customFormat="1">
      <c r="A227" s="723"/>
      <c r="B227" s="723"/>
      <c r="C227" s="723"/>
      <c r="D227" s="723"/>
      <c r="E227" s="723"/>
      <c r="F227" s="824"/>
      <c r="G227" s="824"/>
      <c r="H227" s="824"/>
      <c r="I227" s="824"/>
      <c r="J227" s="824"/>
      <c r="K227" s="824"/>
      <c r="L227" s="824"/>
      <c r="M227" s="824"/>
      <c r="N227" s="723"/>
      <c r="O227" s="723"/>
      <c r="P227" s="723"/>
      <c r="Q227" s="723"/>
      <c r="R227" s="723"/>
      <c r="S227" s="723"/>
    </row>
    <row r="228" spans="1:19" customFormat="1">
      <c r="A228" s="723"/>
      <c r="B228" s="723"/>
      <c r="C228" s="723"/>
      <c r="D228" s="723"/>
      <c r="E228" s="723"/>
      <c r="F228" s="824"/>
      <c r="G228" s="824"/>
      <c r="H228" s="824"/>
      <c r="I228" s="824"/>
      <c r="J228" s="824"/>
      <c r="K228" s="824"/>
      <c r="L228" s="824"/>
      <c r="M228" s="824"/>
      <c r="N228" s="723"/>
      <c r="O228" s="723"/>
      <c r="P228" s="723"/>
      <c r="Q228" s="723"/>
      <c r="R228" s="723"/>
      <c r="S228" s="723"/>
    </row>
    <row r="229" spans="1:19" customFormat="1">
      <c r="A229" s="723"/>
      <c r="B229" s="723"/>
      <c r="C229" s="723"/>
      <c r="D229" s="723"/>
      <c r="E229" s="723"/>
      <c r="F229" s="824"/>
      <c r="G229" s="824"/>
      <c r="H229" s="824"/>
      <c r="I229" s="824"/>
      <c r="J229" s="824"/>
      <c r="K229" s="824"/>
      <c r="L229" s="824"/>
      <c r="M229" s="824"/>
      <c r="N229" s="723"/>
      <c r="O229" s="723"/>
      <c r="P229" s="723"/>
      <c r="Q229" s="723"/>
      <c r="R229" s="723"/>
      <c r="S229" s="723"/>
    </row>
    <row r="230" spans="1:19" customFormat="1">
      <c r="A230" s="723"/>
      <c r="B230" s="723"/>
      <c r="C230" s="723"/>
      <c r="D230" s="723"/>
      <c r="E230" s="723"/>
      <c r="F230" s="824"/>
      <c r="G230" s="824"/>
      <c r="H230" s="824"/>
      <c r="I230" s="824"/>
      <c r="J230" s="824"/>
      <c r="K230" s="824"/>
      <c r="L230" s="824"/>
      <c r="M230" s="824"/>
      <c r="N230" s="723"/>
      <c r="O230" s="723"/>
      <c r="P230" s="723"/>
      <c r="Q230" s="723"/>
      <c r="R230" s="723"/>
      <c r="S230" s="723"/>
    </row>
    <row r="231" spans="1:19" customFormat="1">
      <c r="A231" s="723"/>
      <c r="B231" s="723"/>
      <c r="C231" s="723"/>
      <c r="D231" s="723"/>
      <c r="E231" s="723"/>
      <c r="F231" s="824"/>
      <c r="G231" s="824"/>
      <c r="H231" s="824"/>
      <c r="I231" s="824"/>
      <c r="J231" s="824"/>
      <c r="K231" s="824"/>
      <c r="L231" s="824"/>
      <c r="M231" s="824"/>
      <c r="N231" s="723"/>
      <c r="O231" s="723"/>
      <c r="P231" s="723"/>
      <c r="Q231" s="723"/>
      <c r="R231" s="723"/>
      <c r="S231" s="723"/>
    </row>
    <row r="232" spans="1:19" customFormat="1">
      <c r="A232" s="723"/>
      <c r="B232" s="723"/>
      <c r="C232" s="723"/>
      <c r="D232" s="723"/>
      <c r="E232" s="723"/>
      <c r="F232" s="824"/>
      <c r="G232" s="824"/>
      <c r="H232" s="824"/>
      <c r="I232" s="824"/>
      <c r="J232" s="824"/>
      <c r="K232" s="824"/>
      <c r="L232" s="824"/>
      <c r="M232" s="824"/>
      <c r="N232" s="723"/>
      <c r="O232" s="723"/>
      <c r="P232" s="723"/>
      <c r="Q232" s="723"/>
      <c r="R232" s="723"/>
      <c r="S232" s="723"/>
    </row>
    <row r="233" spans="1:19" customFormat="1">
      <c r="A233" s="723"/>
      <c r="B233" s="723"/>
      <c r="C233" s="723"/>
      <c r="D233" s="723"/>
      <c r="E233" s="723"/>
      <c r="F233" s="824"/>
      <c r="G233" s="824"/>
      <c r="H233" s="824"/>
      <c r="I233" s="824"/>
      <c r="J233" s="824"/>
      <c r="K233" s="824"/>
      <c r="L233" s="824"/>
      <c r="M233" s="824"/>
      <c r="N233" s="723"/>
      <c r="O233" s="723"/>
      <c r="P233" s="723"/>
      <c r="Q233" s="723"/>
      <c r="R233" s="723"/>
      <c r="S233" s="723"/>
    </row>
    <row r="234" spans="1:19" customFormat="1">
      <c r="A234" s="723"/>
      <c r="B234" s="723"/>
      <c r="C234" s="723"/>
      <c r="D234" s="723"/>
      <c r="E234" s="723"/>
      <c r="F234" s="824"/>
      <c r="G234" s="824"/>
      <c r="H234" s="824"/>
      <c r="I234" s="824"/>
      <c r="J234" s="824"/>
      <c r="K234" s="824"/>
      <c r="L234" s="824"/>
      <c r="M234" s="824"/>
      <c r="N234" s="723"/>
      <c r="O234" s="723"/>
      <c r="P234" s="723"/>
      <c r="Q234" s="723"/>
      <c r="R234" s="723"/>
      <c r="S234" s="723"/>
    </row>
    <row r="235" spans="1:19" customFormat="1">
      <c r="A235" s="723"/>
      <c r="B235" s="723"/>
      <c r="C235" s="723"/>
      <c r="D235" s="723"/>
      <c r="E235" s="723"/>
      <c r="F235" s="824"/>
      <c r="G235" s="824"/>
      <c r="H235" s="824"/>
      <c r="I235" s="824"/>
      <c r="J235" s="824"/>
      <c r="K235" s="824"/>
      <c r="L235" s="824"/>
      <c r="M235" s="824"/>
      <c r="N235" s="723"/>
      <c r="O235" s="723"/>
      <c r="P235" s="723"/>
      <c r="Q235" s="723"/>
      <c r="R235" s="723"/>
      <c r="S235" s="723"/>
    </row>
    <row r="236" spans="1:19" customFormat="1">
      <c r="A236" s="723"/>
      <c r="B236" s="723"/>
      <c r="C236" s="723"/>
      <c r="D236" s="723"/>
      <c r="E236" s="723"/>
      <c r="F236" s="824"/>
      <c r="G236" s="824"/>
      <c r="H236" s="824"/>
      <c r="I236" s="824"/>
      <c r="J236" s="824"/>
      <c r="K236" s="824"/>
      <c r="L236" s="824"/>
      <c r="M236" s="824"/>
      <c r="N236" s="723"/>
      <c r="O236" s="723"/>
      <c r="P236" s="723"/>
      <c r="Q236" s="723"/>
      <c r="R236" s="723"/>
      <c r="S236" s="723"/>
    </row>
    <row r="237" spans="1:19" customFormat="1">
      <c r="A237" s="723"/>
      <c r="B237" s="723"/>
      <c r="C237" s="723"/>
      <c r="D237" s="723"/>
      <c r="E237" s="723"/>
      <c r="F237" s="824"/>
      <c r="G237" s="824"/>
      <c r="H237" s="824"/>
      <c r="I237" s="824"/>
      <c r="J237" s="824"/>
      <c r="K237" s="824"/>
      <c r="L237" s="824"/>
      <c r="M237" s="824"/>
      <c r="N237" s="723"/>
      <c r="O237" s="723"/>
      <c r="P237" s="723"/>
      <c r="Q237" s="723"/>
      <c r="R237" s="723"/>
      <c r="S237" s="723"/>
    </row>
    <row r="238" spans="1:19" customFormat="1">
      <c r="A238" s="723"/>
      <c r="B238" s="723"/>
      <c r="C238" s="723"/>
      <c r="D238" s="723"/>
      <c r="E238" s="723"/>
      <c r="F238" s="824"/>
      <c r="G238" s="824"/>
      <c r="H238" s="824"/>
      <c r="I238" s="824"/>
      <c r="J238" s="824"/>
      <c r="K238" s="824"/>
      <c r="L238" s="824"/>
      <c r="M238" s="824"/>
      <c r="N238" s="723"/>
      <c r="O238" s="723"/>
      <c r="P238" s="723"/>
      <c r="Q238" s="723"/>
      <c r="R238" s="723"/>
      <c r="S238" s="723"/>
    </row>
    <row r="239" spans="1:19" customFormat="1">
      <c r="A239" s="723"/>
      <c r="B239" s="723"/>
      <c r="C239" s="723"/>
      <c r="D239" s="723"/>
      <c r="E239" s="723"/>
      <c r="F239" s="824"/>
      <c r="G239" s="824"/>
      <c r="H239" s="824"/>
      <c r="I239" s="824"/>
      <c r="J239" s="824"/>
      <c r="K239" s="824"/>
      <c r="L239" s="824"/>
      <c r="M239" s="824"/>
      <c r="N239" s="723"/>
      <c r="O239" s="723"/>
      <c r="P239" s="723"/>
      <c r="Q239" s="723"/>
      <c r="R239" s="723"/>
      <c r="S239" s="723"/>
    </row>
    <row r="240" spans="1:19" customFormat="1">
      <c r="A240" s="723"/>
      <c r="B240" s="723"/>
      <c r="C240" s="723"/>
      <c r="D240" s="723"/>
      <c r="E240" s="723"/>
      <c r="F240" s="824"/>
      <c r="G240" s="824"/>
      <c r="H240" s="824"/>
      <c r="I240" s="824"/>
      <c r="J240" s="824"/>
      <c r="K240" s="824"/>
      <c r="L240" s="824"/>
      <c r="M240" s="824"/>
      <c r="N240" s="723"/>
      <c r="O240" s="723"/>
      <c r="P240" s="723"/>
      <c r="Q240" s="723"/>
      <c r="R240" s="723"/>
      <c r="S240" s="723"/>
    </row>
    <row r="241" spans="1:19" customFormat="1">
      <c r="A241" s="723"/>
      <c r="B241" s="723"/>
      <c r="C241" s="723"/>
      <c r="D241" s="723"/>
      <c r="E241" s="723"/>
      <c r="F241" s="824"/>
      <c r="G241" s="824"/>
      <c r="H241" s="824"/>
      <c r="I241" s="824"/>
      <c r="J241" s="824"/>
      <c r="K241" s="824"/>
      <c r="L241" s="824"/>
      <c r="M241" s="824"/>
      <c r="N241" s="723"/>
      <c r="O241" s="723"/>
      <c r="P241" s="723"/>
      <c r="Q241" s="723"/>
      <c r="R241" s="723"/>
      <c r="S241" s="723"/>
    </row>
    <row r="242" spans="1:19" customFormat="1">
      <c r="A242" s="723"/>
      <c r="B242" s="723"/>
      <c r="C242" s="723"/>
      <c r="D242" s="723"/>
      <c r="E242" s="723"/>
      <c r="F242" s="824"/>
      <c r="G242" s="824"/>
      <c r="H242" s="824"/>
      <c r="I242" s="824"/>
      <c r="J242" s="824"/>
      <c r="K242" s="824"/>
      <c r="L242" s="824"/>
      <c r="M242" s="824"/>
      <c r="N242" s="723"/>
      <c r="O242" s="723"/>
      <c r="P242" s="723"/>
      <c r="Q242" s="723"/>
      <c r="R242" s="723"/>
      <c r="S242" s="723"/>
    </row>
    <row r="243" spans="1:19" customFormat="1">
      <c r="A243" s="723"/>
      <c r="B243" s="723"/>
      <c r="C243" s="723"/>
      <c r="D243" s="723"/>
      <c r="E243" s="723"/>
      <c r="F243" s="824"/>
      <c r="G243" s="824"/>
      <c r="H243" s="824"/>
      <c r="I243" s="824"/>
      <c r="J243" s="824"/>
      <c r="K243" s="824"/>
      <c r="L243" s="824"/>
      <c r="M243" s="824"/>
      <c r="N243" s="723"/>
      <c r="O243" s="723"/>
      <c r="P243" s="723"/>
      <c r="Q243" s="723"/>
      <c r="R243" s="723"/>
      <c r="S243" s="723"/>
    </row>
    <row r="244" spans="1:19" customFormat="1">
      <c r="A244" s="723"/>
      <c r="B244" s="723"/>
      <c r="C244" s="723"/>
      <c r="D244" s="723"/>
      <c r="E244" s="723"/>
      <c r="F244" s="824"/>
      <c r="G244" s="824"/>
      <c r="H244" s="824"/>
      <c r="I244" s="824"/>
      <c r="J244" s="824"/>
      <c r="K244" s="824"/>
      <c r="L244" s="824"/>
      <c r="M244" s="824"/>
      <c r="N244" s="723"/>
      <c r="O244" s="723"/>
      <c r="P244" s="723"/>
      <c r="Q244" s="723"/>
      <c r="R244" s="723"/>
      <c r="S244" s="723"/>
    </row>
    <row r="245" spans="1:19" customFormat="1">
      <c r="A245" s="723"/>
      <c r="B245" s="723"/>
      <c r="C245" s="723"/>
      <c r="D245" s="723"/>
      <c r="E245" s="723"/>
      <c r="F245" s="824"/>
      <c r="G245" s="824"/>
      <c r="H245" s="824"/>
      <c r="I245" s="824"/>
      <c r="J245" s="824"/>
      <c r="K245" s="824"/>
      <c r="L245" s="824"/>
      <c r="M245" s="824"/>
      <c r="N245" s="723"/>
      <c r="O245" s="723"/>
      <c r="P245" s="723"/>
      <c r="Q245" s="723"/>
      <c r="R245" s="723"/>
      <c r="S245" s="723"/>
    </row>
    <row r="246" spans="1:19" customFormat="1">
      <c r="A246" s="723"/>
      <c r="B246" s="723"/>
      <c r="C246" s="723"/>
      <c r="D246" s="723"/>
      <c r="E246" s="723"/>
      <c r="F246" s="824"/>
      <c r="G246" s="824"/>
      <c r="H246" s="824"/>
      <c r="I246" s="824"/>
      <c r="J246" s="824"/>
      <c r="K246" s="824"/>
      <c r="L246" s="824"/>
      <c r="M246" s="824"/>
      <c r="N246" s="723"/>
      <c r="O246" s="723"/>
      <c r="P246" s="723"/>
      <c r="Q246" s="723"/>
      <c r="R246" s="723"/>
      <c r="S246" s="723"/>
    </row>
    <row r="247" spans="1:19" customFormat="1">
      <c r="A247" s="723"/>
      <c r="B247" s="723"/>
      <c r="C247" s="723"/>
      <c r="D247" s="723"/>
      <c r="E247" s="723"/>
      <c r="F247" s="824"/>
      <c r="G247" s="824"/>
      <c r="H247" s="824"/>
      <c r="I247" s="824"/>
      <c r="J247" s="824"/>
      <c r="K247" s="824"/>
      <c r="L247" s="824"/>
      <c r="M247" s="824"/>
      <c r="N247" s="723"/>
      <c r="O247" s="723"/>
      <c r="P247" s="723"/>
      <c r="Q247" s="723"/>
      <c r="R247" s="723"/>
      <c r="S247" s="723"/>
    </row>
    <row r="248" spans="1:19" customFormat="1">
      <c r="A248" s="723"/>
      <c r="B248" s="723"/>
      <c r="C248" s="723"/>
      <c r="D248" s="723"/>
      <c r="E248" s="723"/>
      <c r="F248" s="824"/>
      <c r="G248" s="824"/>
      <c r="H248" s="824"/>
      <c r="I248" s="824"/>
      <c r="J248" s="824"/>
      <c r="K248" s="824"/>
      <c r="L248" s="824"/>
      <c r="M248" s="824"/>
      <c r="N248" s="723"/>
      <c r="O248" s="723"/>
      <c r="P248" s="723"/>
      <c r="Q248" s="723"/>
      <c r="R248" s="723"/>
      <c r="S248" s="723"/>
    </row>
    <row r="249" spans="1:19" customFormat="1">
      <c r="A249" s="723"/>
      <c r="B249" s="723"/>
      <c r="C249" s="723"/>
      <c r="D249" s="723"/>
      <c r="E249" s="723"/>
      <c r="F249" s="824"/>
      <c r="G249" s="824"/>
      <c r="H249" s="824"/>
      <c r="I249" s="824"/>
      <c r="J249" s="824"/>
      <c r="K249" s="824"/>
      <c r="L249" s="824"/>
      <c r="M249" s="824"/>
      <c r="N249" s="723"/>
      <c r="O249" s="723"/>
      <c r="P249" s="723"/>
      <c r="Q249" s="723"/>
      <c r="R249" s="723"/>
      <c r="S249" s="723"/>
    </row>
    <row r="250" spans="1:19" customFormat="1">
      <c r="A250" s="723"/>
      <c r="B250" s="723"/>
      <c r="C250" s="723"/>
      <c r="D250" s="723"/>
      <c r="E250" s="723"/>
      <c r="F250" s="824"/>
      <c r="G250" s="824"/>
      <c r="H250" s="824"/>
      <c r="I250" s="824"/>
      <c r="J250" s="824"/>
      <c r="K250" s="824"/>
      <c r="L250" s="824"/>
      <c r="M250" s="824"/>
      <c r="N250" s="723"/>
      <c r="O250" s="723"/>
      <c r="P250" s="723"/>
      <c r="Q250" s="723"/>
      <c r="R250" s="723"/>
      <c r="S250" s="723"/>
    </row>
    <row r="251" spans="1:19" customFormat="1">
      <c r="A251" s="723"/>
      <c r="B251" s="723"/>
      <c r="C251" s="723"/>
      <c r="D251" s="723"/>
      <c r="E251" s="723"/>
      <c r="F251" s="824"/>
      <c r="G251" s="824"/>
      <c r="H251" s="824"/>
      <c r="I251" s="824"/>
      <c r="J251" s="824"/>
      <c r="K251" s="824"/>
      <c r="L251" s="824"/>
      <c r="M251" s="824"/>
      <c r="N251" s="723"/>
      <c r="O251" s="723"/>
      <c r="P251" s="723"/>
      <c r="Q251" s="723"/>
      <c r="R251" s="723"/>
      <c r="S251" s="723"/>
    </row>
    <row r="252" spans="1:19" customFormat="1">
      <c r="A252" s="723"/>
      <c r="B252" s="723"/>
      <c r="C252" s="723"/>
      <c r="D252" s="723"/>
      <c r="E252" s="723"/>
      <c r="F252" s="824"/>
      <c r="G252" s="824"/>
      <c r="H252" s="824"/>
      <c r="I252" s="824"/>
      <c r="J252" s="824"/>
      <c r="K252" s="824"/>
      <c r="L252" s="824"/>
      <c r="M252" s="824"/>
      <c r="N252" s="723"/>
      <c r="O252" s="723"/>
      <c r="P252" s="723"/>
      <c r="Q252" s="723"/>
      <c r="R252" s="723"/>
      <c r="S252" s="723"/>
    </row>
    <row r="253" spans="1:19" customFormat="1">
      <c r="A253" s="723"/>
      <c r="B253" s="723"/>
      <c r="C253" s="723"/>
      <c r="D253" s="723"/>
      <c r="E253" s="723"/>
      <c r="F253" s="824"/>
      <c r="G253" s="824"/>
      <c r="H253" s="824"/>
      <c r="I253" s="824"/>
      <c r="J253" s="824"/>
      <c r="K253" s="824"/>
      <c r="L253" s="824"/>
      <c r="M253" s="824"/>
      <c r="N253" s="723"/>
      <c r="O253" s="723"/>
      <c r="P253" s="723"/>
      <c r="Q253" s="723"/>
      <c r="R253" s="723"/>
      <c r="S253" s="723"/>
    </row>
    <row r="254" spans="1:19" customFormat="1">
      <c r="A254" s="723"/>
      <c r="B254" s="723"/>
      <c r="C254" s="723"/>
      <c r="D254" s="723"/>
      <c r="E254" s="723"/>
      <c r="F254" s="824"/>
      <c r="G254" s="824"/>
      <c r="H254" s="824"/>
      <c r="I254" s="824"/>
      <c r="J254" s="824"/>
      <c r="K254" s="824"/>
      <c r="L254" s="824"/>
      <c r="M254" s="824"/>
      <c r="N254" s="723"/>
      <c r="O254" s="723"/>
      <c r="P254" s="723"/>
      <c r="Q254" s="723"/>
      <c r="R254" s="723"/>
      <c r="S254" s="723"/>
    </row>
    <row r="255" spans="1:19" customFormat="1">
      <c r="A255" s="723"/>
      <c r="B255" s="723"/>
      <c r="C255" s="723"/>
      <c r="D255" s="723"/>
      <c r="E255" s="723"/>
      <c r="F255" s="824"/>
      <c r="G255" s="824"/>
      <c r="H255" s="824"/>
      <c r="I255" s="824"/>
      <c r="J255" s="824"/>
      <c r="K255" s="824"/>
      <c r="L255" s="824"/>
      <c r="M255" s="824"/>
      <c r="N255" s="723"/>
      <c r="O255" s="723"/>
      <c r="P255" s="723"/>
      <c r="Q255" s="723"/>
      <c r="R255" s="723"/>
      <c r="S255" s="723"/>
    </row>
    <row r="256" spans="1:19" customFormat="1">
      <c r="A256" s="723"/>
      <c r="B256" s="723"/>
      <c r="C256" s="723"/>
      <c r="D256" s="723"/>
      <c r="E256" s="723"/>
      <c r="F256" s="824"/>
      <c r="G256" s="824"/>
      <c r="H256" s="824"/>
      <c r="I256" s="824"/>
      <c r="J256" s="824"/>
      <c r="K256" s="824"/>
      <c r="L256" s="824"/>
      <c r="M256" s="824"/>
      <c r="N256" s="723"/>
      <c r="O256" s="723"/>
      <c r="P256" s="723"/>
      <c r="Q256" s="723"/>
      <c r="R256" s="723"/>
      <c r="S256" s="723"/>
    </row>
    <row r="257" spans="1:19" customFormat="1">
      <c r="A257" s="723"/>
      <c r="B257" s="723"/>
      <c r="C257" s="723"/>
      <c r="D257" s="723"/>
      <c r="E257" s="723"/>
      <c r="F257" s="824"/>
      <c r="G257" s="824"/>
      <c r="H257" s="824"/>
      <c r="I257" s="824"/>
      <c r="J257" s="824"/>
      <c r="K257" s="824"/>
      <c r="L257" s="824"/>
      <c r="M257" s="824"/>
      <c r="N257" s="723"/>
      <c r="O257" s="723"/>
      <c r="P257" s="723"/>
      <c r="Q257" s="723"/>
      <c r="R257" s="723"/>
      <c r="S257" s="723"/>
    </row>
    <row r="258" spans="1:19" customFormat="1">
      <c r="A258" s="723"/>
      <c r="B258" s="723"/>
      <c r="C258" s="723"/>
      <c r="D258" s="723"/>
      <c r="E258" s="723"/>
      <c r="F258" s="824"/>
      <c r="G258" s="824"/>
      <c r="H258" s="824"/>
      <c r="I258" s="824"/>
      <c r="J258" s="824"/>
      <c r="K258" s="824"/>
      <c r="L258" s="824"/>
      <c r="M258" s="824"/>
      <c r="N258" s="723"/>
      <c r="O258" s="723"/>
      <c r="P258" s="723"/>
      <c r="Q258" s="723"/>
      <c r="R258" s="723"/>
      <c r="S258" s="723"/>
    </row>
    <row r="259" spans="1:19" customFormat="1">
      <c r="A259" s="723"/>
      <c r="B259" s="723"/>
      <c r="C259" s="723"/>
      <c r="D259" s="723"/>
      <c r="E259" s="723"/>
      <c r="F259" s="824"/>
      <c r="G259" s="824"/>
      <c r="H259" s="824"/>
      <c r="I259" s="824"/>
      <c r="J259" s="824"/>
      <c r="K259" s="824"/>
      <c r="L259" s="824"/>
      <c r="M259" s="824"/>
      <c r="N259" s="723"/>
      <c r="O259" s="723"/>
      <c r="P259" s="723"/>
      <c r="Q259" s="723"/>
      <c r="R259" s="723"/>
      <c r="S259" s="723"/>
    </row>
    <row r="260" spans="1:19" customFormat="1">
      <c r="A260" s="723"/>
      <c r="B260" s="723"/>
      <c r="C260" s="723"/>
      <c r="D260" s="723"/>
      <c r="E260" s="723"/>
      <c r="F260" s="824"/>
      <c r="G260" s="824"/>
      <c r="H260" s="824"/>
      <c r="I260" s="824"/>
      <c r="J260" s="824"/>
      <c r="K260" s="824"/>
      <c r="L260" s="824"/>
      <c r="M260" s="824"/>
      <c r="N260" s="723"/>
      <c r="O260" s="723"/>
      <c r="P260" s="723"/>
      <c r="Q260" s="723"/>
      <c r="R260" s="723"/>
      <c r="S260" s="723"/>
    </row>
    <row r="261" spans="1:19" customFormat="1">
      <c r="A261" s="723"/>
      <c r="B261" s="723"/>
      <c r="C261" s="723"/>
      <c r="D261" s="723"/>
      <c r="E261" s="723"/>
      <c r="F261" s="824"/>
      <c r="G261" s="824"/>
      <c r="H261" s="824"/>
      <c r="I261" s="824"/>
      <c r="J261" s="824"/>
      <c r="K261" s="824"/>
      <c r="L261" s="824"/>
      <c r="M261" s="824"/>
      <c r="N261" s="723"/>
      <c r="O261" s="723"/>
      <c r="P261" s="723"/>
      <c r="Q261" s="723"/>
      <c r="R261" s="723"/>
      <c r="S261" s="723"/>
    </row>
    <row r="262" spans="1:19" customFormat="1">
      <c r="A262" s="723"/>
      <c r="B262" s="723"/>
      <c r="C262" s="723"/>
      <c r="D262" s="723"/>
      <c r="E262" s="723"/>
      <c r="F262" s="824"/>
      <c r="G262" s="824"/>
      <c r="H262" s="824"/>
      <c r="I262" s="824"/>
      <c r="J262" s="824"/>
      <c r="K262" s="824"/>
      <c r="L262" s="824"/>
      <c r="M262" s="824"/>
      <c r="N262" s="723"/>
      <c r="O262" s="723"/>
      <c r="P262" s="723"/>
      <c r="Q262" s="723"/>
      <c r="R262" s="723"/>
      <c r="S262" s="723"/>
    </row>
    <row r="263" spans="1:19" customFormat="1">
      <c r="A263" s="723"/>
      <c r="B263" s="723"/>
      <c r="C263" s="723"/>
      <c r="D263" s="723"/>
      <c r="E263" s="723"/>
      <c r="F263" s="824"/>
      <c r="G263" s="824"/>
      <c r="H263" s="824"/>
      <c r="I263" s="824"/>
      <c r="J263" s="824"/>
      <c r="K263" s="824"/>
      <c r="L263" s="824"/>
      <c r="M263" s="824"/>
      <c r="N263" s="723"/>
      <c r="O263" s="723"/>
      <c r="P263" s="723"/>
      <c r="Q263" s="723"/>
      <c r="R263" s="723"/>
      <c r="S263" s="723"/>
    </row>
    <row r="264" spans="1:19" customFormat="1">
      <c r="A264" s="723"/>
      <c r="B264" s="723"/>
      <c r="C264" s="723"/>
      <c r="D264" s="723"/>
      <c r="E264" s="723"/>
      <c r="F264" s="824"/>
      <c r="G264" s="824"/>
      <c r="H264" s="824"/>
      <c r="I264" s="824"/>
      <c r="J264" s="824"/>
      <c r="K264" s="824"/>
      <c r="L264" s="824"/>
      <c r="M264" s="824"/>
      <c r="N264" s="723"/>
      <c r="O264" s="723"/>
      <c r="P264" s="723"/>
      <c r="Q264" s="723"/>
      <c r="R264" s="723"/>
      <c r="S264" s="723"/>
    </row>
    <row r="265" spans="1:19" customFormat="1">
      <c r="A265" s="723"/>
      <c r="B265" s="723"/>
      <c r="C265" s="723"/>
      <c r="D265" s="723"/>
      <c r="E265" s="723"/>
      <c r="F265" s="824"/>
      <c r="G265" s="824"/>
      <c r="H265" s="824"/>
      <c r="I265" s="824"/>
      <c r="J265" s="824"/>
      <c r="K265" s="824"/>
      <c r="L265" s="824"/>
      <c r="M265" s="824"/>
      <c r="N265" s="723"/>
      <c r="O265" s="723"/>
      <c r="P265" s="723"/>
      <c r="Q265" s="723"/>
      <c r="R265" s="723"/>
      <c r="S265" s="723"/>
    </row>
    <row r="266" spans="1:19" customFormat="1">
      <c r="A266" s="723"/>
      <c r="B266" s="723"/>
      <c r="C266" s="723"/>
      <c r="D266" s="723"/>
      <c r="E266" s="723"/>
      <c r="F266" s="824"/>
      <c r="G266" s="824"/>
      <c r="H266" s="824"/>
      <c r="I266" s="824"/>
      <c r="J266" s="824"/>
      <c r="K266" s="824"/>
      <c r="L266" s="824"/>
      <c r="M266" s="824"/>
      <c r="N266" s="723"/>
      <c r="O266" s="723"/>
      <c r="P266" s="723"/>
      <c r="Q266" s="723"/>
      <c r="R266" s="723"/>
      <c r="S266" s="723"/>
    </row>
    <row r="267" spans="1:19" customFormat="1">
      <c r="A267" s="723"/>
      <c r="B267" s="723"/>
      <c r="C267" s="723"/>
      <c r="D267" s="723"/>
      <c r="E267" s="723"/>
      <c r="F267" s="824"/>
      <c r="G267" s="824"/>
      <c r="H267" s="824"/>
      <c r="I267" s="824"/>
      <c r="J267" s="824"/>
      <c r="K267" s="824"/>
      <c r="L267" s="824"/>
      <c r="M267" s="824"/>
      <c r="N267" s="723"/>
      <c r="O267" s="723"/>
      <c r="P267" s="723"/>
      <c r="Q267" s="723"/>
      <c r="R267" s="723"/>
      <c r="S267" s="723"/>
    </row>
    <row r="268" spans="1:19" customFormat="1">
      <c r="A268" s="723"/>
      <c r="B268" s="723"/>
      <c r="C268" s="723"/>
      <c r="D268" s="723"/>
      <c r="E268" s="723"/>
      <c r="F268" s="824"/>
      <c r="G268" s="824"/>
      <c r="H268" s="824"/>
      <c r="I268" s="824"/>
      <c r="J268" s="824"/>
      <c r="K268" s="824"/>
      <c r="L268" s="824"/>
      <c r="M268" s="824"/>
      <c r="N268" s="723"/>
      <c r="O268" s="723"/>
      <c r="P268" s="723"/>
      <c r="Q268" s="723"/>
      <c r="R268" s="723"/>
      <c r="S268" s="723"/>
    </row>
    <row r="269" spans="1:19" customFormat="1">
      <c r="A269" s="723"/>
      <c r="B269" s="723"/>
      <c r="C269" s="723"/>
      <c r="D269" s="723"/>
      <c r="E269" s="723"/>
      <c r="F269" s="824"/>
      <c r="G269" s="824"/>
      <c r="H269" s="824"/>
      <c r="I269" s="824"/>
      <c r="J269" s="824"/>
      <c r="K269" s="824"/>
      <c r="L269" s="824"/>
      <c r="M269" s="824"/>
      <c r="N269" s="723"/>
      <c r="O269" s="723"/>
      <c r="P269" s="723"/>
      <c r="Q269" s="723"/>
      <c r="R269" s="723"/>
      <c r="S269" s="723"/>
    </row>
    <row r="270" spans="1:19" customFormat="1">
      <c r="A270" s="723"/>
      <c r="B270" s="723"/>
      <c r="C270" s="723"/>
      <c r="D270" s="723"/>
      <c r="E270" s="723"/>
      <c r="F270" s="824"/>
      <c r="G270" s="824"/>
      <c r="H270" s="824"/>
      <c r="I270" s="824"/>
      <c r="J270" s="824"/>
      <c r="K270" s="824"/>
      <c r="L270" s="824"/>
      <c r="M270" s="824"/>
      <c r="N270" s="723"/>
      <c r="O270" s="723"/>
      <c r="P270" s="723"/>
      <c r="Q270" s="723"/>
      <c r="R270" s="723"/>
      <c r="S270" s="723"/>
    </row>
    <row r="271" spans="1:19" customFormat="1">
      <c r="A271" s="723"/>
      <c r="B271" s="723"/>
      <c r="C271" s="723"/>
      <c r="D271" s="723"/>
      <c r="E271" s="723"/>
      <c r="F271" s="824"/>
      <c r="G271" s="824"/>
      <c r="H271" s="824"/>
      <c r="I271" s="824"/>
      <c r="J271" s="824"/>
      <c r="K271" s="824"/>
      <c r="L271" s="824"/>
      <c r="M271" s="824"/>
      <c r="N271" s="723"/>
      <c r="O271" s="723"/>
      <c r="P271" s="723"/>
      <c r="Q271" s="723"/>
      <c r="R271" s="723"/>
      <c r="S271" s="723"/>
    </row>
    <row r="272" spans="1:19" customFormat="1">
      <c r="A272" s="723"/>
      <c r="B272" s="723"/>
      <c r="C272" s="723"/>
      <c r="D272" s="723"/>
      <c r="E272" s="723"/>
      <c r="F272" s="824"/>
      <c r="G272" s="824"/>
      <c r="H272" s="824"/>
      <c r="I272" s="824"/>
      <c r="J272" s="824"/>
      <c r="K272" s="824"/>
      <c r="L272" s="824"/>
      <c r="M272" s="824"/>
      <c r="N272" s="723"/>
      <c r="O272" s="723"/>
      <c r="P272" s="723"/>
      <c r="Q272" s="723"/>
      <c r="R272" s="723"/>
      <c r="S272" s="723"/>
    </row>
    <row r="273" spans="1:19" customFormat="1">
      <c r="A273" s="723"/>
      <c r="B273" s="723"/>
      <c r="C273" s="723"/>
      <c r="D273" s="723"/>
      <c r="E273" s="723"/>
      <c r="F273" s="824"/>
      <c r="G273" s="824"/>
      <c r="H273" s="824"/>
      <c r="I273" s="824"/>
      <c r="J273" s="824"/>
      <c r="K273" s="824"/>
      <c r="L273" s="824"/>
      <c r="M273" s="824"/>
      <c r="N273" s="723"/>
      <c r="O273" s="723"/>
      <c r="P273" s="723"/>
      <c r="Q273" s="723"/>
      <c r="R273" s="723"/>
      <c r="S273" s="723"/>
    </row>
    <row r="274" spans="1:19" customFormat="1">
      <c r="A274" s="723"/>
      <c r="B274" s="723"/>
      <c r="C274" s="723"/>
      <c r="D274" s="723"/>
      <c r="E274" s="723"/>
      <c r="F274" s="824"/>
      <c r="G274" s="824"/>
      <c r="H274" s="824"/>
      <c r="I274" s="824"/>
      <c r="J274" s="824"/>
      <c r="K274" s="824"/>
      <c r="L274" s="824"/>
      <c r="M274" s="824"/>
      <c r="N274" s="723"/>
      <c r="O274" s="723"/>
      <c r="P274" s="723"/>
      <c r="Q274" s="723"/>
      <c r="R274" s="723"/>
      <c r="S274" s="723"/>
    </row>
    <row r="275" spans="1:19" customFormat="1">
      <c r="A275" s="723"/>
      <c r="B275" s="723"/>
      <c r="C275" s="723"/>
      <c r="D275" s="723"/>
      <c r="E275" s="723"/>
      <c r="F275" s="824"/>
      <c r="G275" s="824"/>
      <c r="H275" s="824"/>
      <c r="I275" s="824"/>
      <c r="J275" s="824"/>
      <c r="K275" s="824"/>
      <c r="L275" s="824"/>
      <c r="M275" s="824"/>
      <c r="N275" s="723"/>
      <c r="O275" s="723"/>
      <c r="P275" s="723"/>
      <c r="Q275" s="723"/>
      <c r="R275" s="723"/>
      <c r="S275" s="723"/>
    </row>
    <row r="276" spans="1:19" customFormat="1">
      <c r="A276" s="723"/>
      <c r="B276" s="723"/>
      <c r="C276" s="723"/>
      <c r="D276" s="723"/>
      <c r="E276" s="723"/>
      <c r="F276" s="824"/>
      <c r="G276" s="824"/>
      <c r="H276" s="824"/>
      <c r="I276" s="824"/>
      <c r="J276" s="824"/>
      <c r="K276" s="824"/>
      <c r="L276" s="824"/>
      <c r="M276" s="824"/>
      <c r="N276" s="723"/>
      <c r="O276" s="723"/>
      <c r="P276" s="723"/>
      <c r="Q276" s="723"/>
      <c r="R276" s="723"/>
      <c r="S276" s="723"/>
    </row>
    <row r="277" spans="1:19" customFormat="1">
      <c r="A277" s="723"/>
      <c r="B277" s="723"/>
      <c r="C277" s="723"/>
      <c r="D277" s="723"/>
      <c r="E277" s="723"/>
      <c r="F277" s="824"/>
      <c r="G277" s="824"/>
      <c r="H277" s="824"/>
      <c r="I277" s="824"/>
      <c r="J277" s="824"/>
      <c r="K277" s="824"/>
      <c r="L277" s="824"/>
      <c r="M277" s="824"/>
      <c r="N277" s="723"/>
      <c r="O277" s="723"/>
      <c r="P277" s="723"/>
      <c r="Q277" s="723"/>
      <c r="R277" s="723"/>
      <c r="S277" s="723"/>
    </row>
    <row r="278" spans="1:19" customFormat="1">
      <c r="A278" s="723"/>
      <c r="B278" s="723"/>
      <c r="C278" s="723"/>
      <c r="D278" s="723"/>
      <c r="E278" s="723"/>
      <c r="F278" s="824"/>
      <c r="G278" s="824"/>
      <c r="H278" s="824"/>
      <c r="I278" s="824"/>
      <c r="J278" s="824"/>
      <c r="K278" s="824"/>
      <c r="L278" s="824"/>
      <c r="M278" s="824"/>
      <c r="N278" s="723"/>
      <c r="O278" s="723"/>
      <c r="P278" s="723"/>
      <c r="Q278" s="723"/>
      <c r="R278" s="723"/>
      <c r="S278" s="723"/>
    </row>
    <row r="279" spans="1:19" customFormat="1">
      <c r="A279" s="723"/>
      <c r="B279" s="723"/>
      <c r="C279" s="723"/>
      <c r="D279" s="723"/>
      <c r="E279" s="723"/>
      <c r="F279" s="824"/>
      <c r="G279" s="824"/>
      <c r="H279" s="824"/>
      <c r="I279" s="824"/>
      <c r="J279" s="824"/>
      <c r="K279" s="824"/>
      <c r="L279" s="824"/>
      <c r="M279" s="824"/>
      <c r="N279" s="723"/>
      <c r="O279" s="723"/>
      <c r="P279" s="723"/>
      <c r="Q279" s="723"/>
      <c r="R279" s="723"/>
      <c r="S279" s="723"/>
    </row>
    <row r="280" spans="1:19" customFormat="1">
      <c r="A280" s="723"/>
      <c r="B280" s="723"/>
      <c r="C280" s="723"/>
      <c r="D280" s="723"/>
      <c r="E280" s="723"/>
      <c r="F280" s="824"/>
      <c r="G280" s="824"/>
      <c r="H280" s="824"/>
      <c r="I280" s="824"/>
      <c r="J280" s="824"/>
      <c r="K280" s="824"/>
      <c r="L280" s="824"/>
      <c r="M280" s="824"/>
      <c r="N280" s="723"/>
      <c r="O280" s="723"/>
      <c r="P280" s="723"/>
      <c r="Q280" s="723"/>
      <c r="R280" s="723"/>
      <c r="S280" s="723"/>
    </row>
    <row r="281" spans="1:19" customFormat="1">
      <c r="A281" s="723"/>
      <c r="B281" s="723"/>
      <c r="C281" s="723"/>
      <c r="D281" s="723"/>
      <c r="E281" s="723"/>
      <c r="F281" s="824"/>
      <c r="G281" s="824"/>
      <c r="H281" s="824"/>
      <c r="I281" s="824"/>
      <c r="J281" s="824"/>
      <c r="K281" s="824"/>
      <c r="L281" s="824"/>
      <c r="M281" s="824"/>
      <c r="N281" s="723"/>
      <c r="O281" s="723"/>
      <c r="P281" s="723"/>
      <c r="Q281" s="723"/>
      <c r="R281" s="723"/>
      <c r="S281" s="723"/>
    </row>
    <row r="282" spans="1:19" customFormat="1">
      <c r="A282" s="723"/>
      <c r="B282" s="723"/>
      <c r="C282" s="723"/>
      <c r="D282" s="723"/>
      <c r="E282" s="723"/>
      <c r="F282" s="824"/>
      <c r="G282" s="824"/>
      <c r="H282" s="824"/>
      <c r="I282" s="824"/>
      <c r="J282" s="824"/>
      <c r="K282" s="824"/>
      <c r="L282" s="824"/>
      <c r="M282" s="824"/>
      <c r="N282" s="723"/>
      <c r="O282" s="723"/>
      <c r="P282" s="723"/>
      <c r="Q282" s="723"/>
      <c r="R282" s="723"/>
      <c r="S282" s="723"/>
    </row>
    <row r="283" spans="1:19" customFormat="1">
      <c r="A283" s="723"/>
      <c r="B283" s="723"/>
      <c r="C283" s="723"/>
      <c r="D283" s="723"/>
      <c r="E283" s="723"/>
      <c r="F283" s="824"/>
      <c r="G283" s="824"/>
      <c r="H283" s="824"/>
      <c r="I283" s="824"/>
      <c r="J283" s="824"/>
      <c r="K283" s="824"/>
      <c r="L283" s="824"/>
      <c r="M283" s="824"/>
      <c r="N283" s="723"/>
      <c r="O283" s="723"/>
      <c r="P283" s="723"/>
      <c r="Q283" s="723"/>
      <c r="R283" s="723"/>
      <c r="S283" s="723"/>
    </row>
    <row r="284" spans="1:19" customFormat="1">
      <c r="A284" s="723"/>
      <c r="B284" s="723"/>
      <c r="C284" s="723"/>
      <c r="D284" s="723"/>
      <c r="E284" s="723"/>
      <c r="F284" s="824"/>
      <c r="G284" s="824"/>
      <c r="H284" s="824"/>
      <c r="I284" s="824"/>
      <c r="J284" s="824"/>
      <c r="K284" s="824"/>
      <c r="L284" s="824"/>
      <c r="M284" s="824"/>
      <c r="N284" s="723"/>
      <c r="O284" s="723"/>
      <c r="P284" s="723"/>
      <c r="Q284" s="723"/>
      <c r="R284" s="723"/>
      <c r="S284" s="723"/>
    </row>
    <row r="285" spans="1:19" customFormat="1">
      <c r="A285" s="723"/>
      <c r="B285" s="723"/>
      <c r="C285" s="723"/>
      <c r="D285" s="723"/>
      <c r="E285" s="723"/>
      <c r="F285" s="824"/>
      <c r="G285" s="824"/>
      <c r="H285" s="824"/>
      <c r="I285" s="824"/>
      <c r="J285" s="824"/>
      <c r="K285" s="824"/>
      <c r="L285" s="824"/>
      <c r="M285" s="824"/>
      <c r="N285" s="723"/>
      <c r="O285" s="723"/>
      <c r="P285" s="723"/>
      <c r="Q285" s="723"/>
      <c r="R285" s="723"/>
      <c r="S285" s="723"/>
    </row>
    <row r="286" spans="1:19" customFormat="1">
      <c r="A286" s="723"/>
      <c r="B286" s="723"/>
      <c r="C286" s="723"/>
      <c r="D286" s="723"/>
      <c r="E286" s="723"/>
      <c r="F286" s="824"/>
      <c r="G286" s="824"/>
      <c r="H286" s="824"/>
      <c r="I286" s="824"/>
      <c r="J286" s="824"/>
      <c r="K286" s="824"/>
      <c r="L286" s="824"/>
      <c r="M286" s="824"/>
      <c r="N286" s="723"/>
      <c r="O286" s="723"/>
      <c r="P286" s="723"/>
      <c r="Q286" s="723"/>
      <c r="R286" s="723"/>
      <c r="S286" s="723"/>
    </row>
    <row r="287" spans="1:19" customFormat="1">
      <c r="A287" s="723"/>
      <c r="B287" s="723"/>
      <c r="C287" s="723"/>
      <c r="D287" s="723"/>
      <c r="E287" s="723"/>
      <c r="F287" s="824"/>
      <c r="G287" s="824"/>
      <c r="H287" s="824"/>
      <c r="I287" s="824"/>
      <c r="J287" s="824"/>
      <c r="K287" s="824"/>
      <c r="L287" s="824"/>
      <c r="M287" s="824"/>
      <c r="N287" s="723"/>
      <c r="O287" s="723"/>
      <c r="P287" s="723"/>
      <c r="Q287" s="723"/>
      <c r="R287" s="723"/>
      <c r="S287" s="723"/>
    </row>
    <row r="288" spans="1:19" customFormat="1">
      <c r="A288" s="723"/>
      <c r="B288" s="723"/>
      <c r="C288" s="723"/>
      <c r="D288" s="723"/>
      <c r="E288" s="723"/>
      <c r="F288" s="824"/>
      <c r="G288" s="824"/>
      <c r="H288" s="824"/>
      <c r="I288" s="824"/>
      <c r="J288" s="824"/>
      <c r="K288" s="824"/>
      <c r="L288" s="824"/>
      <c r="M288" s="824"/>
      <c r="N288" s="723"/>
      <c r="O288" s="723"/>
      <c r="P288" s="723"/>
      <c r="Q288" s="723"/>
      <c r="R288" s="723"/>
      <c r="S288" s="723"/>
    </row>
    <row r="289" spans="1:19" customFormat="1">
      <c r="A289" s="723"/>
      <c r="B289" s="723"/>
      <c r="C289" s="723"/>
      <c r="D289" s="723"/>
      <c r="E289" s="723"/>
      <c r="F289" s="824"/>
      <c r="G289" s="824"/>
      <c r="H289" s="824"/>
      <c r="I289" s="824"/>
      <c r="J289" s="824"/>
      <c r="K289" s="824"/>
      <c r="L289" s="824"/>
      <c r="M289" s="824"/>
      <c r="N289" s="723"/>
      <c r="O289" s="723"/>
      <c r="P289" s="723"/>
      <c r="Q289" s="723"/>
      <c r="R289" s="723"/>
      <c r="S289" s="723"/>
    </row>
    <row r="290" spans="1:19" customFormat="1">
      <c r="A290" s="723"/>
      <c r="B290" s="723"/>
      <c r="C290" s="723"/>
      <c r="D290" s="723"/>
      <c r="E290" s="723"/>
      <c r="F290" s="824"/>
      <c r="G290" s="824"/>
      <c r="H290" s="824"/>
      <c r="I290" s="824"/>
      <c r="J290" s="824"/>
      <c r="K290" s="824"/>
      <c r="L290" s="824"/>
      <c r="M290" s="824"/>
      <c r="N290" s="723"/>
      <c r="O290" s="723"/>
      <c r="P290" s="723"/>
      <c r="Q290" s="723"/>
      <c r="R290" s="723"/>
      <c r="S290" s="723"/>
    </row>
    <row r="291" spans="1:19" customFormat="1">
      <c r="A291" s="723"/>
      <c r="B291" s="723"/>
      <c r="C291" s="723"/>
      <c r="D291" s="723"/>
      <c r="E291" s="723"/>
      <c r="F291" s="824"/>
      <c r="G291" s="824"/>
      <c r="H291" s="824"/>
      <c r="I291" s="824"/>
      <c r="J291" s="824"/>
      <c r="K291" s="824"/>
      <c r="L291" s="824"/>
      <c r="M291" s="824"/>
      <c r="N291" s="723"/>
      <c r="O291" s="723"/>
      <c r="P291" s="723"/>
      <c r="Q291" s="723"/>
      <c r="R291" s="723"/>
      <c r="S291" s="723"/>
    </row>
    <row r="292" spans="1:19" customFormat="1">
      <c r="A292" s="723"/>
      <c r="B292" s="723"/>
      <c r="C292" s="723"/>
      <c r="D292" s="723"/>
      <c r="E292" s="723"/>
      <c r="F292" s="824"/>
      <c r="G292" s="824"/>
      <c r="H292" s="824"/>
      <c r="I292" s="824"/>
      <c r="J292" s="824"/>
      <c r="K292" s="824"/>
      <c r="L292" s="824"/>
      <c r="M292" s="824"/>
      <c r="N292" s="723"/>
      <c r="O292" s="723"/>
      <c r="P292" s="723"/>
      <c r="Q292" s="723"/>
      <c r="R292" s="723"/>
      <c r="S292" s="723"/>
    </row>
    <row r="293" spans="1:19" customFormat="1">
      <c r="A293" s="723"/>
      <c r="B293" s="723"/>
      <c r="C293" s="723"/>
      <c r="D293" s="723"/>
      <c r="E293" s="723"/>
      <c r="F293" s="824"/>
      <c r="G293" s="824"/>
      <c r="H293" s="824"/>
      <c r="I293" s="824"/>
      <c r="J293" s="824"/>
      <c r="K293" s="824"/>
      <c r="L293" s="824"/>
      <c r="M293" s="824"/>
      <c r="N293" s="723"/>
      <c r="O293" s="723"/>
      <c r="P293" s="723"/>
      <c r="Q293" s="723"/>
      <c r="R293" s="723"/>
      <c r="S293" s="723"/>
    </row>
    <row r="294" spans="1:19" customFormat="1">
      <c r="A294" s="723"/>
      <c r="B294" s="723"/>
      <c r="C294" s="723"/>
      <c r="D294" s="723"/>
      <c r="E294" s="723"/>
      <c r="F294" s="824"/>
      <c r="G294" s="824"/>
      <c r="H294" s="824"/>
      <c r="I294" s="824"/>
      <c r="J294" s="824"/>
      <c r="K294" s="824"/>
      <c r="L294" s="824"/>
      <c r="M294" s="824"/>
      <c r="N294" s="723"/>
      <c r="O294" s="723"/>
      <c r="P294" s="723"/>
      <c r="Q294" s="723"/>
      <c r="R294" s="723"/>
      <c r="S294" s="723"/>
    </row>
    <row r="295" spans="1:19" customFormat="1">
      <c r="A295" s="723"/>
      <c r="B295" s="723"/>
      <c r="C295" s="723"/>
      <c r="D295" s="723"/>
      <c r="E295" s="723"/>
      <c r="F295" s="824"/>
      <c r="G295" s="824"/>
      <c r="H295" s="824"/>
      <c r="I295" s="824"/>
      <c r="J295" s="824"/>
      <c r="K295" s="824"/>
      <c r="L295" s="824"/>
      <c r="M295" s="824"/>
      <c r="N295" s="723"/>
      <c r="O295" s="723"/>
      <c r="P295" s="723"/>
      <c r="Q295" s="723"/>
      <c r="R295" s="723"/>
      <c r="S295" s="723"/>
    </row>
    <row r="296" spans="1:19" customFormat="1">
      <c r="A296" s="723"/>
      <c r="B296" s="723"/>
      <c r="C296" s="723"/>
      <c r="D296" s="723"/>
      <c r="E296" s="723"/>
      <c r="F296" s="824"/>
      <c r="G296" s="824"/>
      <c r="H296" s="824"/>
      <c r="I296" s="824"/>
      <c r="J296" s="824"/>
      <c r="K296" s="824"/>
      <c r="L296" s="824"/>
      <c r="M296" s="824"/>
      <c r="N296" s="723"/>
      <c r="O296" s="723"/>
      <c r="P296" s="723"/>
      <c r="Q296" s="723"/>
      <c r="R296" s="723"/>
      <c r="S296" s="723"/>
    </row>
    <row r="297" spans="1:19" customFormat="1">
      <c r="A297" s="723"/>
      <c r="B297" s="723"/>
      <c r="C297" s="723"/>
      <c r="D297" s="723"/>
      <c r="E297" s="723"/>
      <c r="F297" s="824"/>
      <c r="G297" s="824"/>
      <c r="H297" s="824"/>
      <c r="I297" s="824"/>
      <c r="J297" s="824"/>
      <c r="K297" s="824"/>
      <c r="L297" s="824"/>
      <c r="M297" s="824"/>
      <c r="N297" s="723"/>
      <c r="O297" s="723"/>
      <c r="P297" s="723"/>
      <c r="Q297" s="723"/>
      <c r="R297" s="723"/>
      <c r="S297" s="723"/>
    </row>
    <row r="298" spans="1:19" customFormat="1">
      <c r="A298" s="723"/>
      <c r="B298" s="723"/>
      <c r="C298" s="723"/>
      <c r="D298" s="723"/>
      <c r="E298" s="723"/>
      <c r="F298" s="824"/>
      <c r="G298" s="824"/>
      <c r="H298" s="824"/>
      <c r="I298" s="824"/>
      <c r="J298" s="824"/>
      <c r="K298" s="824"/>
      <c r="L298" s="824"/>
      <c r="M298" s="824"/>
      <c r="N298" s="723"/>
      <c r="O298" s="723"/>
      <c r="P298" s="723"/>
      <c r="Q298" s="723"/>
      <c r="R298" s="723"/>
      <c r="S298" s="723"/>
    </row>
    <row r="299" spans="1:19" customFormat="1">
      <c r="A299" s="723"/>
      <c r="B299" s="723"/>
      <c r="C299" s="723"/>
      <c r="D299" s="723"/>
      <c r="E299" s="723"/>
      <c r="F299" s="824"/>
      <c r="G299" s="824"/>
      <c r="H299" s="824"/>
      <c r="I299" s="824"/>
      <c r="J299" s="824"/>
      <c r="K299" s="824"/>
      <c r="L299" s="824"/>
      <c r="M299" s="824"/>
      <c r="N299" s="723"/>
      <c r="O299" s="723"/>
      <c r="P299" s="723"/>
      <c r="Q299" s="723"/>
      <c r="R299" s="723"/>
      <c r="S299" s="723"/>
    </row>
    <row r="300" spans="1:19" customFormat="1">
      <c r="A300" s="723"/>
      <c r="B300" s="723"/>
      <c r="C300" s="723"/>
      <c r="D300" s="723"/>
      <c r="E300" s="723"/>
      <c r="F300" s="824"/>
      <c r="G300" s="824"/>
      <c r="H300" s="824"/>
      <c r="I300" s="824"/>
      <c r="J300" s="824"/>
      <c r="K300" s="824"/>
      <c r="L300" s="824"/>
      <c r="M300" s="824"/>
      <c r="N300" s="723"/>
      <c r="O300" s="723"/>
      <c r="P300" s="723"/>
      <c r="Q300" s="723"/>
      <c r="R300" s="723"/>
      <c r="S300" s="723"/>
    </row>
    <row r="301" spans="1:19" customFormat="1">
      <c r="A301" s="723"/>
      <c r="B301" s="723"/>
      <c r="C301" s="723"/>
      <c r="D301" s="723"/>
      <c r="E301" s="723"/>
      <c r="F301" s="824"/>
      <c r="G301" s="824"/>
      <c r="H301" s="824"/>
      <c r="I301" s="824"/>
      <c r="J301" s="824"/>
      <c r="K301" s="824"/>
      <c r="L301" s="824"/>
      <c r="M301" s="824"/>
      <c r="N301" s="723"/>
      <c r="O301" s="723"/>
      <c r="P301" s="723"/>
      <c r="Q301" s="723"/>
      <c r="R301" s="723"/>
      <c r="S301" s="723"/>
    </row>
    <row r="302" spans="1:19" customFormat="1">
      <c r="A302" s="723"/>
      <c r="B302" s="723"/>
      <c r="C302" s="723"/>
      <c r="D302" s="723"/>
      <c r="E302" s="723"/>
      <c r="F302" s="824"/>
      <c r="G302" s="824"/>
      <c r="H302" s="824"/>
      <c r="I302" s="824"/>
      <c r="J302" s="824"/>
      <c r="K302" s="824"/>
      <c r="L302" s="824"/>
      <c r="M302" s="824"/>
      <c r="N302" s="723"/>
      <c r="O302" s="723"/>
      <c r="P302" s="723"/>
      <c r="Q302" s="723"/>
      <c r="R302" s="723"/>
      <c r="S302" s="723"/>
    </row>
    <row r="303" spans="1:19" customFormat="1">
      <c r="A303" s="723"/>
      <c r="B303" s="723"/>
      <c r="C303" s="723"/>
      <c r="D303" s="723"/>
      <c r="E303" s="723"/>
      <c r="F303" s="824"/>
      <c r="G303" s="824"/>
      <c r="H303" s="824"/>
      <c r="I303" s="824"/>
      <c r="J303" s="824"/>
      <c r="K303" s="824"/>
      <c r="L303" s="824"/>
      <c r="M303" s="824"/>
      <c r="N303" s="723"/>
      <c r="O303" s="723"/>
      <c r="P303" s="723"/>
      <c r="Q303" s="723"/>
      <c r="R303" s="723"/>
      <c r="S303" s="723"/>
    </row>
  </sheetData>
  <mergeCells count="36">
    <mergeCell ref="B34:N34"/>
    <mergeCell ref="A2:B2"/>
    <mergeCell ref="B4:N7"/>
    <mergeCell ref="B11:N11"/>
    <mergeCell ref="B12:N16"/>
    <mergeCell ref="B17:N17"/>
    <mergeCell ref="B19:N19"/>
    <mergeCell ref="B21:N21"/>
    <mergeCell ref="B23:N23"/>
    <mergeCell ref="B25:N26"/>
    <mergeCell ref="B30:N30"/>
    <mergeCell ref="B32:N32"/>
    <mergeCell ref="B56:N56"/>
    <mergeCell ref="B36:N36"/>
    <mergeCell ref="B38:N38"/>
    <mergeCell ref="B40:N40"/>
    <mergeCell ref="B42:N42"/>
    <mergeCell ref="B44:N44"/>
    <mergeCell ref="B46:N46"/>
    <mergeCell ref="B48:N48"/>
    <mergeCell ref="B49:M50"/>
    <mergeCell ref="B51:D51"/>
    <mergeCell ref="B53:N53"/>
    <mergeCell ref="B54:N54"/>
    <mergeCell ref="B156:N158"/>
    <mergeCell ref="B58:N58"/>
    <mergeCell ref="M60:N60"/>
    <mergeCell ref="B61:I61"/>
    <mergeCell ref="B140:N140"/>
    <mergeCell ref="B141:N141"/>
    <mergeCell ref="B143:N143"/>
    <mergeCell ref="B144:N145"/>
    <mergeCell ref="B146:N147"/>
    <mergeCell ref="B148:N149"/>
    <mergeCell ref="B150:N154"/>
    <mergeCell ref="B155:N155"/>
  </mergeCells>
  <conditionalFormatting sqref="K66:K67">
    <cfRule type="cellIs" dxfId="3" priority="3" stopIfTrue="1" operator="notEqual">
      <formula>0</formula>
    </cfRule>
    <cfRule type="expression" dxfId="2" priority="4" stopIfTrue="1">
      <formula>ISNUMBER(#REF!)</formula>
    </cfRule>
  </conditionalFormatting>
  <conditionalFormatting sqref="K63:K64">
    <cfRule type="cellIs" dxfId="1" priority="1" stopIfTrue="1" operator="notEqual">
      <formula>0</formula>
    </cfRule>
    <cfRule type="expression" dxfId="0" priority="2" stopIfTrue="1">
      <formula>ISNUMBER(#REF!)</formula>
    </cfRule>
  </conditionalFormatting>
  <hyperlinks>
    <hyperlink ref="B40" r:id="rId1" display="http://www.statistics.gov.uk/statbase/Product.asp?vlnk=14012" xr:uid="{00000000-0004-0000-1F00-000000000000}"/>
    <hyperlink ref="B141" r:id="rId2" xr:uid="{00000000-0004-0000-1F00-000001000000}"/>
    <hyperlink ref="B59" r:id="rId3" xr:uid="{00000000-0004-0000-1F00-000002000000}"/>
    <hyperlink ref="B25:N25" r:id="rId4" display="Please use this annex in conjunction with Annex F in the Defra Guidance on measuring emissions from your supply chain which is available at http://www.defra.gov.uk/environment/business/reporting/index.htm" xr:uid="{00000000-0004-0000-1F00-000003000000}"/>
    <hyperlink ref="B144:N144" r:id="rId5" display="http://www.ons.gov.uk/about-statistics/classifications/archived/uk-standard-industrial-classification-of-ea-2003.pdf" xr:uid="{00000000-0004-0000-1F00-000004000000}"/>
    <hyperlink ref="A1" location="'About og Fane-Link'!A1" display="Til Forsiden" xr:uid="{00000000-0004-0000-1F00-000005000000}"/>
  </hyperlinks>
  <pageMargins left="0.7" right="0.7" top="0.75" bottom="0.75" header="0.3" footer="0.3"/>
  <legacyDrawing r:id="rId6"/>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H138"/>
  <sheetViews>
    <sheetView workbookViewId="0">
      <selection activeCell="I118" sqref="I118"/>
    </sheetView>
  </sheetViews>
  <sheetFormatPr defaultColWidth="11.44140625" defaultRowHeight="13.2"/>
  <cols>
    <col min="1" max="3" width="11.44140625" style="502" customWidth="1"/>
    <col min="4" max="4" width="12.33203125" style="502" customWidth="1"/>
    <col min="5" max="5" width="5.33203125" style="502" customWidth="1"/>
    <col min="6" max="6" width="19" style="502" customWidth="1"/>
    <col min="7" max="7" width="6.88671875" style="502" customWidth="1"/>
    <col min="8" max="8" width="2.44140625" style="502" customWidth="1"/>
    <col min="9" max="9" width="13.6640625" style="502" customWidth="1"/>
    <col min="10" max="10" width="6.6640625" style="502" customWidth="1"/>
    <col min="11" max="11" width="18.44140625" style="502" customWidth="1"/>
    <col min="12" max="12" width="13.6640625" style="502" customWidth="1"/>
    <col min="13" max="13" width="61.44140625" style="502" customWidth="1"/>
    <col min="14" max="20" width="11.44140625" style="502" customWidth="1"/>
    <col min="21" max="24" width="11.44140625" style="502" hidden="1" customWidth="1"/>
    <col min="25" max="16384" width="11.44140625" style="502"/>
  </cols>
  <sheetData>
    <row r="1" spans="1:86">
      <c r="A1" s="44" t="s">
        <v>2527</v>
      </c>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3"/>
      <c r="AM1" s="503"/>
      <c r="AN1" s="503"/>
      <c r="AO1" s="503"/>
      <c r="AP1" s="503"/>
      <c r="AQ1" s="503"/>
      <c r="AR1" s="503"/>
      <c r="AS1" s="503"/>
      <c r="AT1" s="503"/>
      <c r="AU1" s="503"/>
      <c r="AV1" s="503"/>
      <c r="AW1" s="503"/>
      <c r="AX1" s="503"/>
      <c r="AY1" s="503"/>
      <c r="AZ1" s="503"/>
      <c r="BA1" s="503"/>
      <c r="BB1" s="503"/>
      <c r="BC1" s="503"/>
      <c r="BD1" s="503"/>
      <c r="BE1" s="503"/>
      <c r="BF1" s="503"/>
      <c r="BG1" s="503"/>
      <c r="BH1" s="503"/>
      <c r="BI1" s="503"/>
      <c r="BJ1" s="503"/>
      <c r="BK1" s="503"/>
      <c r="BL1" s="503"/>
      <c r="BM1" s="503"/>
      <c r="BN1" s="503"/>
      <c r="BO1" s="503"/>
      <c r="BP1" s="503"/>
      <c r="BQ1" s="503"/>
      <c r="BR1" s="503"/>
      <c r="BS1" s="503"/>
      <c r="BT1" s="503"/>
      <c r="BU1" s="503"/>
      <c r="BV1" s="503"/>
      <c r="BW1" s="503"/>
      <c r="BX1" s="503"/>
      <c r="BY1" s="503"/>
      <c r="BZ1" s="503"/>
      <c r="CA1" s="503"/>
      <c r="CB1" s="503"/>
      <c r="CC1" s="503"/>
      <c r="CD1" s="503"/>
      <c r="CE1" s="503"/>
      <c r="CF1" s="503"/>
      <c r="CG1" s="503"/>
      <c r="CH1" s="503"/>
    </row>
    <row r="2" spans="1:86" ht="15.6">
      <c r="A2" s="504" t="s">
        <v>1723</v>
      </c>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3"/>
      <c r="BB2" s="503"/>
      <c r="BC2" s="503"/>
      <c r="BD2" s="503"/>
      <c r="BE2" s="503"/>
      <c r="BF2" s="503"/>
      <c r="BG2" s="503"/>
      <c r="BH2" s="503"/>
      <c r="BI2" s="503"/>
      <c r="BJ2" s="503"/>
      <c r="BK2" s="503"/>
      <c r="BL2" s="503"/>
      <c r="BM2" s="503"/>
      <c r="BN2" s="503"/>
      <c r="BO2" s="503"/>
      <c r="BP2" s="503"/>
      <c r="BQ2" s="503"/>
      <c r="BR2" s="503"/>
      <c r="BS2" s="503"/>
      <c r="BT2" s="503"/>
      <c r="BU2" s="503"/>
      <c r="BV2" s="503"/>
      <c r="BW2" s="503"/>
      <c r="BX2" s="503"/>
      <c r="BY2" s="503"/>
      <c r="BZ2" s="503"/>
      <c r="CA2" s="503"/>
      <c r="CB2" s="503"/>
      <c r="CC2" s="503"/>
      <c r="CD2" s="503"/>
      <c r="CE2" s="503"/>
      <c r="CF2" s="503"/>
      <c r="CG2" s="503"/>
      <c r="CH2" s="503"/>
    </row>
    <row r="3" spans="1:86">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c r="AV3" s="503"/>
      <c r="AW3" s="503"/>
      <c r="AX3" s="503"/>
      <c r="AY3" s="503"/>
      <c r="AZ3" s="503"/>
      <c r="BA3" s="503"/>
      <c r="BB3" s="503"/>
      <c r="BC3" s="503"/>
      <c r="BD3" s="503"/>
      <c r="BE3" s="503"/>
      <c r="BF3" s="503"/>
      <c r="BG3" s="503"/>
      <c r="BH3" s="503"/>
      <c r="BI3" s="503"/>
      <c r="BJ3" s="503"/>
      <c r="BK3" s="503"/>
      <c r="BL3" s="503"/>
      <c r="BM3" s="503"/>
      <c r="BN3" s="503"/>
      <c r="BO3" s="503"/>
      <c r="BP3" s="503"/>
      <c r="BQ3" s="503"/>
      <c r="BR3" s="503"/>
      <c r="BS3" s="503"/>
      <c r="BT3" s="503"/>
      <c r="BU3" s="503"/>
      <c r="BV3" s="503"/>
      <c r="BW3" s="503"/>
      <c r="BX3" s="503"/>
      <c r="BY3" s="503"/>
      <c r="BZ3" s="503"/>
      <c r="CA3" s="503"/>
      <c r="CB3" s="503"/>
      <c r="CC3" s="503"/>
      <c r="CD3" s="503"/>
      <c r="CE3" s="503"/>
      <c r="CF3" s="503"/>
      <c r="CG3" s="503"/>
      <c r="CH3" s="503"/>
    </row>
    <row r="4" spans="1:86" s="505" customFormat="1" ht="41.25" customHeight="1">
      <c r="F4" s="506" t="s">
        <v>1724</v>
      </c>
      <c r="I4" s="1125" t="s">
        <v>1725</v>
      </c>
      <c r="J4" s="1107"/>
      <c r="K4" s="1107"/>
      <c r="M4" s="508" t="s">
        <v>1726</v>
      </c>
      <c r="N4" s="508" t="s">
        <v>1727</v>
      </c>
      <c r="R4" s="509"/>
      <c r="S4" s="509"/>
      <c r="T4" s="509"/>
      <c r="U4" s="509"/>
      <c r="V4" s="509"/>
      <c r="W4" s="509"/>
      <c r="X4" s="509"/>
      <c r="Y4" s="509"/>
      <c r="Z4" s="509"/>
      <c r="AA4" s="509"/>
      <c r="AB4" s="509"/>
      <c r="AC4" s="509"/>
      <c r="AD4" s="509"/>
      <c r="AE4" s="509"/>
      <c r="AF4" s="509"/>
      <c r="AG4" s="509"/>
      <c r="AH4" s="509"/>
      <c r="AI4" s="509"/>
      <c r="AJ4" s="509"/>
      <c r="AK4" s="509"/>
      <c r="AL4" s="509"/>
      <c r="AM4" s="509"/>
      <c r="AN4" s="509"/>
      <c r="AO4" s="509"/>
      <c r="AP4" s="509"/>
      <c r="AQ4" s="509"/>
      <c r="AR4" s="509"/>
      <c r="AS4" s="509"/>
      <c r="AT4" s="509"/>
      <c r="AU4" s="509"/>
      <c r="AV4" s="509"/>
      <c r="AW4" s="509"/>
      <c r="AX4" s="509"/>
      <c r="AY4" s="509"/>
      <c r="AZ4" s="509"/>
      <c r="BA4" s="509"/>
      <c r="BB4" s="509"/>
      <c r="BC4" s="509"/>
      <c r="BD4" s="509"/>
      <c r="BE4" s="509"/>
      <c r="BF4" s="509"/>
      <c r="BG4" s="509"/>
      <c r="BH4" s="509"/>
      <c r="BI4" s="509"/>
      <c r="BJ4" s="509"/>
      <c r="BK4" s="509"/>
      <c r="BL4" s="509"/>
      <c r="BM4" s="509"/>
      <c r="BN4" s="509"/>
      <c r="BO4" s="509"/>
      <c r="BP4" s="509"/>
      <c r="BQ4" s="509"/>
      <c r="BR4" s="509"/>
      <c r="BS4" s="509"/>
      <c r="BT4" s="509"/>
      <c r="BU4" s="509"/>
      <c r="BV4" s="509"/>
      <c r="BW4" s="509"/>
      <c r="BX4" s="509"/>
      <c r="BY4" s="509"/>
      <c r="BZ4" s="509"/>
      <c r="CA4" s="509"/>
      <c r="CB4" s="509"/>
      <c r="CC4" s="509"/>
      <c r="CD4" s="509"/>
      <c r="CE4" s="509"/>
      <c r="CF4" s="509"/>
      <c r="CG4" s="509"/>
      <c r="CH4" s="509"/>
    </row>
    <row r="5" spans="1:86" s="510" customFormat="1" ht="13.8" thickBot="1">
      <c r="A5" s="1126" t="s">
        <v>1728</v>
      </c>
      <c r="B5" s="1127"/>
      <c r="C5" s="1127"/>
      <c r="D5" s="1127"/>
      <c r="F5" s="511"/>
      <c r="I5" s="511"/>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09"/>
      <c r="AY5" s="509"/>
      <c r="AZ5" s="509"/>
      <c r="BA5" s="509"/>
      <c r="BB5" s="509"/>
      <c r="BC5" s="509"/>
      <c r="BD5" s="509"/>
      <c r="BE5" s="509"/>
      <c r="BF5" s="509"/>
      <c r="BG5" s="509"/>
      <c r="BH5" s="509"/>
      <c r="BI5" s="509"/>
      <c r="BJ5" s="509"/>
      <c r="BK5" s="509"/>
      <c r="BL5" s="509"/>
      <c r="BM5" s="509"/>
      <c r="BN5" s="509"/>
      <c r="BO5" s="509"/>
      <c r="BP5" s="509"/>
      <c r="BQ5" s="509"/>
      <c r="BR5" s="509"/>
      <c r="BS5" s="509"/>
      <c r="BT5" s="509"/>
      <c r="BU5" s="509"/>
      <c r="BV5" s="509"/>
      <c r="BW5" s="509"/>
      <c r="BX5" s="509"/>
      <c r="BY5" s="509"/>
      <c r="BZ5" s="509"/>
      <c r="CA5" s="509"/>
      <c r="CB5" s="509"/>
      <c r="CC5" s="509"/>
      <c r="CD5" s="509"/>
      <c r="CE5" s="509"/>
      <c r="CF5" s="509"/>
      <c r="CG5" s="509"/>
      <c r="CH5" s="509"/>
    </row>
    <row r="6" spans="1:86" s="509" customFormat="1" ht="20.25" customHeight="1" thickBot="1">
      <c r="A6" s="1128" t="s">
        <v>1729</v>
      </c>
      <c r="B6" s="1129"/>
      <c r="C6" s="1129"/>
      <c r="D6" s="1130"/>
      <c r="F6" s="514">
        <v>1</v>
      </c>
      <c r="I6" s="515"/>
    </row>
    <row r="7" spans="1:86" s="509" customFormat="1" ht="20.25" customHeight="1" thickBot="1">
      <c r="A7" s="1128" t="s">
        <v>1730</v>
      </c>
      <c r="B7" s="1129"/>
      <c r="C7" s="1129"/>
      <c r="D7" s="1129"/>
      <c r="F7" s="514">
        <v>1</v>
      </c>
      <c r="I7" s="515"/>
    </row>
    <row r="8" spans="1:86" s="509" customFormat="1" ht="20.25" customHeight="1">
      <c r="A8" s="516"/>
      <c r="B8" s="517"/>
      <c r="C8" s="517" t="s">
        <v>1731</v>
      </c>
      <c r="D8" s="517"/>
      <c r="I8" s="515"/>
    </row>
    <row r="9" spans="1:86" s="509" customFormat="1" ht="20.25" customHeight="1">
      <c r="A9" s="516"/>
      <c r="B9" s="517"/>
      <c r="C9" s="517"/>
      <c r="D9" s="517"/>
      <c r="F9" s="515"/>
      <c r="I9" s="515"/>
    </row>
    <row r="10" spans="1:86" s="509" customFormat="1" ht="20.25" customHeight="1">
      <c r="A10" s="516"/>
      <c r="B10" s="517"/>
      <c r="C10" s="517"/>
      <c r="D10" s="517"/>
      <c r="F10" s="515"/>
      <c r="I10" s="515"/>
    </row>
    <row r="11" spans="1:86" s="510" customFormat="1" ht="13.8" thickBot="1">
      <c r="A11" s="1126" t="s">
        <v>1732</v>
      </c>
      <c r="B11" s="1127"/>
      <c r="C11" s="1127"/>
      <c r="D11" s="1127"/>
      <c r="F11" s="511"/>
      <c r="R11" s="509"/>
      <c r="S11" s="509"/>
      <c r="T11" s="509"/>
      <c r="U11" s="509"/>
      <c r="V11" s="509"/>
      <c r="W11" s="509"/>
      <c r="X11" s="509"/>
      <c r="Y11" s="509"/>
      <c r="Z11" s="509"/>
      <c r="AA11" s="509"/>
      <c r="AB11" s="509"/>
      <c r="AC11" s="509"/>
      <c r="AD11" s="509"/>
      <c r="AE11" s="509"/>
      <c r="AF11" s="509"/>
      <c r="AG11" s="509"/>
      <c r="AH11" s="509"/>
      <c r="AI11" s="509"/>
      <c r="AJ11" s="509"/>
      <c r="AK11" s="509"/>
      <c r="AL11" s="509"/>
      <c r="AM11" s="509"/>
      <c r="AN11" s="509"/>
      <c r="AO11" s="509"/>
      <c r="AP11" s="509"/>
      <c r="AQ11" s="509"/>
      <c r="AR11" s="509"/>
      <c r="AS11" s="509"/>
      <c r="AT11" s="509"/>
      <c r="AU11" s="509"/>
      <c r="AV11" s="509"/>
      <c r="AW11" s="509"/>
      <c r="AX11" s="509"/>
      <c r="AY11" s="509"/>
      <c r="AZ11" s="509"/>
      <c r="BA11" s="509"/>
      <c r="BB11" s="509"/>
      <c r="BC11" s="509"/>
      <c r="BD11" s="509"/>
      <c r="BE11" s="509"/>
      <c r="BF11" s="509"/>
      <c r="BG11" s="509"/>
      <c r="BH11" s="509"/>
      <c r="BI11" s="509"/>
      <c r="BJ11" s="509"/>
      <c r="BK11" s="509"/>
      <c r="BL11" s="509"/>
      <c r="BM11" s="509"/>
      <c r="BN11" s="509"/>
      <c r="BO11" s="509"/>
      <c r="BP11" s="509"/>
      <c r="BQ11" s="509"/>
      <c r="BR11" s="509"/>
      <c r="BS11" s="509"/>
      <c r="BT11" s="509"/>
      <c r="BU11" s="509"/>
      <c r="BV11" s="509"/>
      <c r="BW11" s="509"/>
      <c r="BX11" s="509"/>
      <c r="BY11" s="509"/>
      <c r="BZ11" s="509"/>
      <c r="CA11" s="509"/>
      <c r="CB11" s="509"/>
      <c r="CC11" s="509"/>
      <c r="CD11" s="509"/>
      <c r="CE11" s="509"/>
      <c r="CF11" s="509"/>
      <c r="CG11" s="509"/>
      <c r="CH11" s="509"/>
    </row>
    <row r="12" spans="1:86" ht="42" customHeight="1" thickBot="1">
      <c r="A12" s="1122" t="s">
        <v>1733</v>
      </c>
      <c r="B12" s="1123"/>
      <c r="C12" s="1123"/>
      <c r="D12" s="1123"/>
      <c r="F12" s="520"/>
      <c r="I12" s="521">
        <v>1</v>
      </c>
      <c r="J12" s="1124" t="s">
        <v>1734</v>
      </c>
      <c r="K12" s="1092"/>
      <c r="L12" s="1092"/>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503"/>
      <c r="AR12" s="503"/>
      <c r="AS12" s="503"/>
      <c r="AT12" s="503"/>
      <c r="AU12" s="503"/>
      <c r="AV12" s="503"/>
      <c r="AW12" s="503"/>
      <c r="AX12" s="503"/>
      <c r="AY12" s="503"/>
      <c r="AZ12" s="503"/>
      <c r="BA12" s="503"/>
      <c r="BB12" s="503"/>
      <c r="BC12" s="503"/>
      <c r="BD12" s="503"/>
      <c r="BE12" s="503"/>
      <c r="BF12" s="503"/>
      <c r="BG12" s="503"/>
      <c r="BH12" s="503"/>
      <c r="BI12" s="503"/>
      <c r="BJ12" s="503"/>
      <c r="BK12" s="503"/>
      <c r="BL12" s="503"/>
      <c r="BM12" s="503"/>
      <c r="BN12" s="503"/>
      <c r="BO12" s="503"/>
      <c r="BP12" s="503"/>
      <c r="BQ12" s="503"/>
      <c r="BR12" s="503"/>
      <c r="BS12" s="503"/>
      <c r="BT12" s="503"/>
      <c r="BU12" s="503"/>
      <c r="BV12" s="503"/>
      <c r="BW12" s="503"/>
      <c r="BX12" s="503"/>
      <c r="BY12" s="503"/>
      <c r="BZ12" s="503"/>
      <c r="CA12" s="503"/>
      <c r="CB12" s="503"/>
      <c r="CC12" s="503"/>
      <c r="CD12" s="503"/>
      <c r="CE12" s="503"/>
      <c r="CF12" s="503"/>
      <c r="CG12" s="503"/>
      <c r="CH12" s="503"/>
    </row>
    <row r="13" spans="1:86" ht="27" customHeight="1">
      <c r="A13" s="518"/>
      <c r="B13" s="519"/>
      <c r="C13" s="519"/>
      <c r="D13" s="519"/>
      <c r="F13" s="1121" t="s">
        <v>1735</v>
      </c>
      <c r="G13" s="1107"/>
      <c r="H13" s="507"/>
      <c r="Q13" s="503"/>
      <c r="R13" s="503"/>
      <c r="S13" s="503"/>
      <c r="T13" s="503"/>
    </row>
    <row r="14" spans="1:86">
      <c r="A14" s="518"/>
      <c r="B14" s="519"/>
      <c r="C14" s="519"/>
      <c r="D14" s="519"/>
      <c r="F14" s="1107"/>
      <c r="G14" s="1107"/>
      <c r="H14" s="507"/>
      <c r="Q14" s="503"/>
      <c r="R14" s="503"/>
      <c r="S14" s="503"/>
      <c r="T14" s="503"/>
    </row>
    <row r="15" spans="1:86" ht="13.8" thickBot="1">
      <c r="F15" s="507"/>
      <c r="G15" s="507"/>
      <c r="H15" s="507"/>
      <c r="N15" s="503"/>
      <c r="O15" s="503"/>
      <c r="P15" s="503"/>
      <c r="Q15" s="503"/>
      <c r="R15" s="503"/>
      <c r="S15" s="503"/>
      <c r="T15" s="503"/>
    </row>
    <row r="16" spans="1:86" ht="13.8" thickBot="1">
      <c r="A16" s="1096" t="s">
        <v>1736</v>
      </c>
      <c r="B16" s="1100"/>
      <c r="C16" s="1100"/>
      <c r="D16" s="1100"/>
      <c r="F16" s="524"/>
      <c r="G16" s="525"/>
      <c r="H16" s="525"/>
      <c r="I16" s="526" t="e">
        <f>IF(I12=1,(F12*52)/F16*19.4*(100/95),(F12)/F16*19.4*(100/95))</f>
        <v>#DIV/0!</v>
      </c>
      <c r="J16" s="502" t="s">
        <v>1725</v>
      </c>
      <c r="M16" s="1088" t="s">
        <v>1737</v>
      </c>
      <c r="N16" s="528" t="s">
        <v>1738</v>
      </c>
      <c r="O16" s="503"/>
      <c r="P16" s="503"/>
      <c r="Q16" s="503"/>
      <c r="R16" s="503"/>
      <c r="S16" s="503"/>
      <c r="T16" s="503"/>
    </row>
    <row r="17" spans="1:20">
      <c r="F17" s="1088" t="s">
        <v>1739</v>
      </c>
      <c r="G17" s="1088"/>
      <c r="H17" s="522"/>
      <c r="I17" s="502" t="s">
        <v>1740</v>
      </c>
      <c r="J17" s="503"/>
      <c r="M17" s="1100"/>
      <c r="N17" s="528" t="s">
        <v>1741</v>
      </c>
      <c r="O17" s="503"/>
      <c r="P17" s="503"/>
      <c r="Q17" s="503"/>
      <c r="R17" s="503"/>
      <c r="S17" s="503"/>
      <c r="T17" s="503"/>
    </row>
    <row r="18" spans="1:20">
      <c r="F18" s="1088"/>
      <c r="G18" s="1088"/>
      <c r="H18" s="522"/>
      <c r="I18" s="529"/>
      <c r="J18" s="503"/>
      <c r="M18" s="1100"/>
      <c r="N18" s="503"/>
      <c r="O18" s="503"/>
      <c r="P18" s="503"/>
      <c r="Q18" s="503"/>
      <c r="R18" s="503"/>
      <c r="S18" s="503"/>
      <c r="T18" s="503"/>
    </row>
    <row r="19" spans="1:20" ht="39" customHeight="1">
      <c r="F19" s="1100"/>
      <c r="G19" s="1100"/>
      <c r="H19" s="507"/>
      <c r="I19" s="529"/>
      <c r="N19" s="503"/>
      <c r="O19" s="503"/>
      <c r="P19" s="503"/>
      <c r="Q19" s="503"/>
      <c r="R19" s="503"/>
      <c r="S19" s="503"/>
      <c r="T19" s="503"/>
    </row>
    <row r="20" spans="1:20">
      <c r="F20" s="507"/>
      <c r="G20" s="507"/>
      <c r="H20" s="507"/>
      <c r="I20" s="529"/>
      <c r="N20" s="503"/>
      <c r="O20" s="503"/>
      <c r="P20" s="503"/>
      <c r="Q20" s="503"/>
      <c r="R20" s="503"/>
      <c r="S20" s="503"/>
      <c r="T20" s="503"/>
    </row>
    <row r="21" spans="1:20" s="533" customFormat="1">
      <c r="A21" s="530" t="s">
        <v>1742</v>
      </c>
      <c r="B21" s="531"/>
      <c r="C21" s="531"/>
      <c r="D21" s="531"/>
      <c r="E21" s="531"/>
      <c r="F21" s="531"/>
      <c r="G21" s="531"/>
      <c r="H21" s="531"/>
      <c r="I21" s="531"/>
      <c r="J21" s="531"/>
      <c r="K21" s="531"/>
      <c r="L21" s="531"/>
      <c r="M21" s="531"/>
      <c r="N21" s="531"/>
      <c r="O21" s="531"/>
      <c r="P21" s="531"/>
      <c r="Q21" s="531"/>
      <c r="R21" s="532"/>
      <c r="S21" s="532"/>
      <c r="T21" s="532"/>
    </row>
    <row r="22" spans="1:20" s="533" customFormat="1" ht="17.100000000000001" customHeight="1" thickBot="1">
      <c r="A22" s="532"/>
      <c r="B22" s="532"/>
      <c r="C22" s="532"/>
      <c r="D22" s="532"/>
      <c r="E22" s="532"/>
      <c r="F22" s="532"/>
      <c r="G22" s="532"/>
      <c r="H22" s="532"/>
      <c r="I22" s="532"/>
      <c r="J22" s="532"/>
      <c r="K22" s="532"/>
      <c r="L22" s="532"/>
      <c r="M22" s="532"/>
      <c r="N22" s="532"/>
      <c r="O22" s="532"/>
      <c r="P22" s="532"/>
      <c r="Q22" s="532"/>
      <c r="R22" s="532"/>
      <c r="S22" s="532"/>
      <c r="T22" s="532"/>
    </row>
    <row r="23" spans="1:20" ht="13.8" thickBot="1">
      <c r="A23" s="1117" t="s">
        <v>1743</v>
      </c>
      <c r="B23" s="1118"/>
      <c r="C23" s="1118"/>
      <c r="D23" s="1118"/>
      <c r="E23" s="513" t="s">
        <v>1744</v>
      </c>
      <c r="F23" s="524">
        <v>0</v>
      </c>
      <c r="I23" s="526">
        <f>(F23/0.1)*1.37*12</f>
        <v>0</v>
      </c>
      <c r="J23" s="502" t="s">
        <v>1725</v>
      </c>
      <c r="M23" s="1088" t="s">
        <v>1745</v>
      </c>
      <c r="N23" s="503" t="s">
        <v>1746</v>
      </c>
      <c r="O23" s="503"/>
      <c r="P23" s="503"/>
      <c r="Q23" s="503"/>
    </row>
    <row r="24" spans="1:20">
      <c r="A24" s="503"/>
      <c r="B24" s="503"/>
      <c r="C24" s="503"/>
      <c r="D24" s="503"/>
      <c r="F24" s="1092" t="s">
        <v>1747</v>
      </c>
      <c r="G24" s="1092"/>
      <c r="H24" s="522"/>
      <c r="I24" s="1092" t="s">
        <v>1748</v>
      </c>
      <c r="J24" s="1107"/>
      <c r="K24" s="1107"/>
      <c r="M24" s="1100"/>
      <c r="N24" s="503" t="s">
        <v>1749</v>
      </c>
      <c r="O24" s="503"/>
      <c r="P24" s="503"/>
      <c r="Q24" s="503"/>
    </row>
    <row r="25" spans="1:20">
      <c r="A25" s="536"/>
      <c r="B25" s="503"/>
      <c r="C25" s="503"/>
      <c r="D25" s="503"/>
      <c r="F25" s="1092"/>
      <c r="G25" s="1092"/>
      <c r="H25" s="522"/>
      <c r="I25" s="1107"/>
      <c r="J25" s="1107"/>
      <c r="K25" s="1107"/>
      <c r="M25" s="1100"/>
      <c r="N25" s="503" t="s">
        <v>1750</v>
      </c>
      <c r="O25" s="503"/>
      <c r="P25" s="503"/>
      <c r="Q25" s="503"/>
    </row>
    <row r="26" spans="1:20">
      <c r="A26" s="536"/>
      <c r="B26" s="503"/>
      <c r="C26" s="503"/>
      <c r="D26" s="503"/>
      <c r="F26" s="522"/>
      <c r="G26" s="522"/>
      <c r="H26" s="522"/>
      <c r="M26" s="503"/>
      <c r="N26" s="503"/>
      <c r="O26" s="503"/>
      <c r="P26" s="503"/>
      <c r="Q26" s="503"/>
    </row>
    <row r="27" spans="1:20">
      <c r="A27" s="537"/>
      <c r="B27" s="503"/>
      <c r="C27" s="503"/>
      <c r="D27" s="503"/>
      <c r="F27" s="1088" t="s">
        <v>1751</v>
      </c>
      <c r="G27" s="1088"/>
      <c r="H27" s="1089"/>
      <c r="I27" s="1089"/>
      <c r="J27" s="1089"/>
      <c r="K27" s="1089"/>
      <c r="M27" s="503"/>
      <c r="N27" s="503"/>
      <c r="O27" s="503"/>
      <c r="P27" s="503"/>
      <c r="Q27" s="503"/>
    </row>
    <row r="28" spans="1:20">
      <c r="A28" s="537"/>
      <c r="B28" s="503"/>
      <c r="C28" s="503"/>
      <c r="D28" s="503"/>
      <c r="F28" s="1088"/>
      <c r="G28" s="1088"/>
      <c r="H28" s="1089"/>
      <c r="I28" s="1089"/>
      <c r="J28" s="1089"/>
      <c r="K28" s="1089"/>
      <c r="M28" s="503"/>
      <c r="N28" s="503"/>
      <c r="O28" s="503"/>
      <c r="P28" s="503"/>
      <c r="Q28" s="503"/>
    </row>
    <row r="29" spans="1:20" ht="27.75" customHeight="1">
      <c r="A29" s="538"/>
      <c r="F29" s="1088"/>
      <c r="G29" s="1088"/>
      <c r="H29" s="1089"/>
      <c r="I29" s="1089"/>
      <c r="J29" s="1089"/>
      <c r="K29" s="1089"/>
      <c r="M29" s="503"/>
      <c r="N29" s="503"/>
      <c r="O29" s="503"/>
      <c r="P29" s="503"/>
      <c r="Q29" s="503"/>
    </row>
    <row r="30" spans="1:20">
      <c r="A30" s="538"/>
      <c r="M30" s="503"/>
      <c r="N30" s="503"/>
      <c r="O30" s="503"/>
      <c r="P30" s="503"/>
      <c r="Q30" s="503"/>
    </row>
    <row r="31" spans="1:20" ht="13.8" thickBot="1">
      <c r="N31" s="503"/>
      <c r="O31" s="503"/>
      <c r="P31" s="503"/>
      <c r="Q31" s="503"/>
    </row>
    <row r="32" spans="1:20" ht="13.8" thickBot="1">
      <c r="A32" s="1117" t="s">
        <v>1752</v>
      </c>
      <c r="B32" s="1118"/>
      <c r="C32" s="1118"/>
      <c r="D32" s="1118"/>
      <c r="E32" s="513" t="s">
        <v>1744</v>
      </c>
      <c r="F32" s="539">
        <v>0</v>
      </c>
      <c r="I32" s="526">
        <f>(F32/13.83)*120.61*12</f>
        <v>0</v>
      </c>
      <c r="J32" s="502" t="s">
        <v>1725</v>
      </c>
      <c r="M32" s="1088" t="s">
        <v>1753</v>
      </c>
      <c r="N32" s="503" t="s">
        <v>1754</v>
      </c>
      <c r="O32" s="503"/>
      <c r="P32" s="503"/>
      <c r="Q32" s="503"/>
    </row>
    <row r="33" spans="1:17">
      <c r="A33" s="534"/>
      <c r="B33" s="535"/>
      <c r="C33" s="535"/>
      <c r="D33" s="535"/>
      <c r="E33" s="513"/>
      <c r="F33" s="1119" t="s">
        <v>1755</v>
      </c>
      <c r="G33" s="1107"/>
      <c r="H33" s="507"/>
      <c r="I33" s="1092" t="s">
        <v>1756</v>
      </c>
      <c r="J33" s="1107"/>
      <c r="K33" s="1107"/>
      <c r="M33" s="1088"/>
      <c r="N33" s="503" t="s">
        <v>1757</v>
      </c>
      <c r="O33" s="503"/>
      <c r="P33" s="503"/>
      <c r="Q33" s="503"/>
    </row>
    <row r="34" spans="1:17">
      <c r="A34" s="534"/>
      <c r="B34" s="535"/>
      <c r="C34" s="535"/>
      <c r="D34" s="535"/>
      <c r="E34" s="513"/>
      <c r="F34" s="1107"/>
      <c r="G34" s="1107"/>
      <c r="H34" s="507"/>
      <c r="I34" s="1107"/>
      <c r="J34" s="1107"/>
      <c r="K34" s="1107"/>
      <c r="M34" s="1100"/>
      <c r="N34" s="503" t="s">
        <v>1750</v>
      </c>
      <c r="O34" s="503"/>
      <c r="P34" s="503"/>
      <c r="Q34" s="503"/>
    </row>
    <row r="35" spans="1:17">
      <c r="A35" s="534"/>
      <c r="B35" s="535"/>
      <c r="C35" s="535"/>
      <c r="D35" s="535"/>
      <c r="E35" s="513"/>
      <c r="F35" s="540"/>
      <c r="I35" s="541"/>
      <c r="N35" s="503"/>
      <c r="O35" s="503"/>
      <c r="P35" s="503"/>
      <c r="Q35" s="503"/>
    </row>
    <row r="36" spans="1:17">
      <c r="A36" s="529"/>
      <c r="F36" s="1092" t="s">
        <v>1758</v>
      </c>
      <c r="G36" s="1092"/>
      <c r="H36" s="522"/>
      <c r="J36" s="503"/>
      <c r="M36" s="503"/>
      <c r="O36" s="503"/>
      <c r="P36" s="503"/>
      <c r="Q36" s="503"/>
    </row>
    <row r="37" spans="1:17">
      <c r="A37" s="538"/>
      <c r="F37" s="1092"/>
      <c r="G37" s="1092"/>
      <c r="H37" s="522"/>
      <c r="N37" s="503"/>
      <c r="O37" s="503"/>
      <c r="P37" s="503"/>
      <c r="Q37" s="503"/>
    </row>
    <row r="38" spans="1:17">
      <c r="A38" s="538"/>
      <c r="F38" s="522"/>
      <c r="G38" s="522"/>
      <c r="H38" s="522"/>
      <c r="N38" s="503"/>
      <c r="O38" s="503"/>
      <c r="P38" s="503"/>
      <c r="Q38" s="503"/>
    </row>
    <row r="39" spans="1:17" ht="13.8" thickBot="1">
      <c r="N39" s="503"/>
      <c r="O39" s="503"/>
      <c r="P39" s="503"/>
      <c r="Q39" s="503"/>
    </row>
    <row r="40" spans="1:17" ht="13.8" thickBot="1">
      <c r="A40" s="1116" t="s">
        <v>1759</v>
      </c>
      <c r="B40" s="1116"/>
      <c r="C40" s="1116"/>
      <c r="D40" s="1116"/>
      <c r="E40" s="513" t="s">
        <v>1744</v>
      </c>
      <c r="F40" s="542">
        <v>0</v>
      </c>
      <c r="I40" s="543">
        <f>(F40/2.37)*22.28*12</f>
        <v>0</v>
      </c>
      <c r="J40" s="502" t="s">
        <v>1725</v>
      </c>
      <c r="M40" s="1088" t="s">
        <v>1760</v>
      </c>
      <c r="N40" s="503" t="s">
        <v>1761</v>
      </c>
      <c r="O40" s="503"/>
      <c r="P40" s="503"/>
      <c r="Q40" s="503"/>
    </row>
    <row r="41" spans="1:17">
      <c r="F41" s="1092" t="s">
        <v>1762</v>
      </c>
      <c r="G41" s="1092"/>
      <c r="H41" s="522"/>
      <c r="I41" s="1120" t="s">
        <v>1763</v>
      </c>
      <c r="J41" s="1107"/>
      <c r="K41" s="1107"/>
      <c r="M41" s="1100"/>
      <c r="N41" s="503" t="s">
        <v>1764</v>
      </c>
      <c r="O41" s="503"/>
      <c r="P41" s="503"/>
      <c r="Q41" s="503"/>
    </row>
    <row r="42" spans="1:17">
      <c r="F42" s="1092"/>
      <c r="G42" s="1092"/>
      <c r="H42" s="522"/>
      <c r="I42" s="1107"/>
      <c r="J42" s="1107"/>
      <c r="K42" s="1107"/>
      <c r="M42" s="1100"/>
      <c r="N42" s="503" t="s">
        <v>1750</v>
      </c>
      <c r="O42" s="503"/>
      <c r="P42" s="503"/>
      <c r="Q42" s="503"/>
    </row>
    <row r="43" spans="1:17">
      <c r="A43" s="503"/>
      <c r="B43" s="503"/>
      <c r="C43" s="503"/>
      <c r="D43" s="503"/>
      <c r="I43" s="544"/>
      <c r="J43" s="503"/>
      <c r="M43" s="503"/>
      <c r="N43" s="503"/>
      <c r="O43" s="503"/>
      <c r="P43" s="503"/>
      <c r="Q43" s="503"/>
    </row>
    <row r="44" spans="1:17">
      <c r="A44" s="503"/>
      <c r="B44" s="503"/>
      <c r="C44" s="503"/>
      <c r="D44" s="503"/>
      <c r="F44" s="1092" t="s">
        <v>1765</v>
      </c>
      <c r="G44" s="1107"/>
      <c r="H44" s="507"/>
      <c r="I44" s="545"/>
      <c r="M44" s="503"/>
      <c r="O44" s="503"/>
      <c r="P44" s="503"/>
      <c r="Q44" s="503"/>
    </row>
    <row r="45" spans="1:17">
      <c r="F45" s="1107"/>
      <c r="G45" s="1107"/>
      <c r="H45" s="507"/>
      <c r="I45" s="545"/>
    </row>
    <row r="46" spans="1:17">
      <c r="F46" s="507"/>
      <c r="G46" s="507"/>
      <c r="H46" s="507"/>
      <c r="I46" s="545"/>
    </row>
    <row r="47" spans="1:17">
      <c r="A47" s="530" t="s">
        <v>1766</v>
      </c>
      <c r="B47" s="546"/>
      <c r="C47" s="546"/>
      <c r="D47" s="546"/>
      <c r="E47" s="546"/>
      <c r="F47" s="546"/>
      <c r="G47" s="546"/>
      <c r="H47" s="546"/>
      <c r="I47" s="546"/>
      <c r="J47" s="546"/>
      <c r="K47" s="546"/>
      <c r="L47" s="546"/>
      <c r="M47" s="546"/>
      <c r="N47" s="546"/>
      <c r="O47" s="546"/>
      <c r="P47" s="546"/>
      <c r="Q47" s="546"/>
    </row>
    <row r="48" spans="1:17" ht="13.8" thickBot="1"/>
    <row r="49" spans="1:23" ht="69.75" customHeight="1" thickBot="1">
      <c r="A49" s="1116" t="s">
        <v>1767</v>
      </c>
      <c r="B49" s="1116"/>
      <c r="C49" s="1116"/>
      <c r="D49" s="1116"/>
      <c r="E49" s="1116"/>
      <c r="F49" s="547" t="s">
        <v>1768</v>
      </c>
      <c r="I49" s="543">
        <f>F6*1018</f>
        <v>1018</v>
      </c>
      <c r="J49" s="502" t="s">
        <v>1725</v>
      </c>
      <c r="M49" s="527" t="s">
        <v>1769</v>
      </c>
      <c r="N49" s="548" t="s">
        <v>1770</v>
      </c>
    </row>
    <row r="50" spans="1:23" ht="50.25" customHeight="1" thickBot="1">
      <c r="A50" s="1110" t="s">
        <v>1771</v>
      </c>
      <c r="B50" s="1110"/>
      <c r="C50" s="1110"/>
      <c r="D50" s="1110"/>
      <c r="E50" s="1110"/>
      <c r="F50" s="549"/>
      <c r="G50" s="549"/>
      <c r="H50" s="549"/>
      <c r="I50" s="1111" t="s">
        <v>1772</v>
      </c>
      <c r="J50" s="1089"/>
      <c r="K50" s="1089"/>
    </row>
    <row r="51" spans="1:23" ht="40.200000000000003" thickBot="1">
      <c r="A51" s="1112" t="s">
        <v>1773</v>
      </c>
      <c r="B51" s="1112"/>
      <c r="C51" s="1112"/>
      <c r="D51" s="1112"/>
      <c r="E51" s="513"/>
      <c r="F51" s="521">
        <v>2</v>
      </c>
      <c r="I51" s="551">
        <f>IF(F51=1,$F$6*-184.3,0)</f>
        <v>0</v>
      </c>
      <c r="J51" s="502" t="s">
        <v>1725</v>
      </c>
      <c r="M51" s="522" t="s">
        <v>1774</v>
      </c>
      <c r="N51" s="548" t="s">
        <v>1775</v>
      </c>
      <c r="U51" s="552">
        <v>0</v>
      </c>
      <c r="V51" s="502">
        <f>IF(U51=1,W51,0)</f>
        <v>0</v>
      </c>
      <c r="W51" s="502" t="s">
        <v>1776</v>
      </c>
    </row>
    <row r="52" spans="1:23" ht="13.8" thickBot="1">
      <c r="A52" s="550"/>
      <c r="B52" s="550"/>
      <c r="C52" s="550"/>
      <c r="D52" s="550"/>
      <c r="E52" s="513"/>
      <c r="F52" s="502" t="s">
        <v>1777</v>
      </c>
      <c r="G52" s="503"/>
      <c r="H52" s="503"/>
      <c r="I52" s="553"/>
      <c r="J52" s="509"/>
      <c r="K52" s="503"/>
      <c r="M52" s="522"/>
      <c r="N52" s="548"/>
      <c r="U52" s="552"/>
    </row>
    <row r="53" spans="1:23" ht="40.200000000000003" thickBot="1">
      <c r="A53" s="1112" t="s">
        <v>1778</v>
      </c>
      <c r="B53" s="1112"/>
      <c r="C53" s="1112"/>
      <c r="D53" s="1112"/>
      <c r="E53" s="513"/>
      <c r="F53" s="521">
        <v>2</v>
      </c>
      <c r="I53" s="543">
        <f>IF(F53=1,$F$6*-25.6,0)</f>
        <v>0</v>
      </c>
      <c r="J53" s="502" t="s">
        <v>1725</v>
      </c>
      <c r="M53" s="522" t="s">
        <v>1779</v>
      </c>
      <c r="N53" s="548" t="s">
        <v>1780</v>
      </c>
      <c r="U53" s="552">
        <v>1</v>
      </c>
      <c r="V53" s="502" t="str">
        <f>IF(U53=1,W53,0)</f>
        <v>Glass</v>
      </c>
      <c r="W53" s="502" t="s">
        <v>800</v>
      </c>
    </row>
    <row r="54" spans="1:23" ht="13.8" thickBot="1">
      <c r="A54" s="550"/>
      <c r="B54" s="550"/>
      <c r="C54" s="550"/>
      <c r="D54" s="550"/>
      <c r="E54" s="513"/>
      <c r="F54" s="502" t="s">
        <v>1777</v>
      </c>
      <c r="G54" s="503"/>
      <c r="H54" s="503"/>
      <c r="I54" s="553"/>
      <c r="J54" s="509"/>
      <c r="K54" s="503"/>
      <c r="M54" s="522"/>
      <c r="N54" s="548"/>
      <c r="U54" s="552"/>
    </row>
    <row r="55" spans="1:23" ht="40.200000000000003" thickBot="1">
      <c r="A55" s="1112" t="s">
        <v>1781</v>
      </c>
      <c r="B55" s="1112"/>
      <c r="C55" s="1112"/>
      <c r="D55" s="1112"/>
      <c r="E55" s="513"/>
      <c r="F55" s="521">
        <v>2</v>
      </c>
      <c r="I55" s="543">
        <f>IF(F55=1,$F$6*-46.58,0)</f>
        <v>0</v>
      </c>
      <c r="J55" s="502" t="s">
        <v>1725</v>
      </c>
      <c r="M55" s="522" t="s">
        <v>1782</v>
      </c>
      <c r="N55" s="548" t="s">
        <v>1783</v>
      </c>
      <c r="O55" s="522"/>
      <c r="P55" s="522"/>
      <c r="Q55" s="522"/>
      <c r="U55" s="552">
        <v>1</v>
      </c>
      <c r="V55" s="502" t="str">
        <f>IF(U55=1,W55,0)</f>
        <v>Plastic</v>
      </c>
      <c r="W55" s="502" t="s">
        <v>1784</v>
      </c>
    </row>
    <row r="56" spans="1:23" ht="13.8" thickBot="1">
      <c r="A56" s="550"/>
      <c r="B56" s="550"/>
      <c r="C56" s="550"/>
      <c r="D56" s="550"/>
      <c r="E56" s="513"/>
      <c r="F56" s="502" t="s">
        <v>1777</v>
      </c>
      <c r="G56" s="503"/>
      <c r="H56" s="503"/>
      <c r="I56" s="553"/>
      <c r="J56" s="509"/>
      <c r="K56" s="503"/>
      <c r="M56" s="522"/>
      <c r="N56" s="527"/>
      <c r="O56" s="522"/>
      <c r="P56" s="522"/>
      <c r="Q56" s="522"/>
      <c r="U56" s="552"/>
    </row>
    <row r="57" spans="1:23" ht="40.200000000000003" thickBot="1">
      <c r="A57" s="1112" t="s">
        <v>1785</v>
      </c>
      <c r="B57" s="1112"/>
      <c r="C57" s="1112"/>
      <c r="D57" s="1112"/>
      <c r="E57" s="513"/>
      <c r="F57" s="521">
        <v>2</v>
      </c>
      <c r="I57" s="543">
        <f>IF(F57=1,$F$6*-165.79,0)</f>
        <v>0</v>
      </c>
      <c r="J57" s="502" t="s">
        <v>1725</v>
      </c>
      <c r="M57" s="522" t="s">
        <v>1786</v>
      </c>
      <c r="N57" s="548" t="s">
        <v>1787</v>
      </c>
      <c r="O57" s="522"/>
      <c r="P57" s="522"/>
      <c r="Q57" s="522"/>
      <c r="U57" s="552">
        <v>1</v>
      </c>
      <c r="V57" s="502" t="str">
        <f>IF(U57=1,W57,0)</f>
        <v>Metal</v>
      </c>
      <c r="W57" s="502" t="s">
        <v>1788</v>
      </c>
    </row>
    <row r="58" spans="1:23">
      <c r="A58" s="529"/>
      <c r="B58" s="550"/>
      <c r="C58" s="550"/>
      <c r="D58" s="550"/>
      <c r="E58" s="513"/>
      <c r="F58" s="502" t="s">
        <v>1777</v>
      </c>
      <c r="I58" s="552"/>
      <c r="U58" s="554">
        <f>SUM(U51:U57)</f>
        <v>3</v>
      </c>
      <c r="V58" s="502" t="str">
        <f>IF(V51&gt;0,V51&amp;", ","")&amp;IF(V53&gt;0,V53&amp;", ","")&amp;IF(V55&gt;0,V55&amp;", ","")&amp;IF(V57&gt;0,V57&amp;", ","")</f>
        <v xml:space="preserve">Glass, Plastic, Metal, </v>
      </c>
      <c r="W58" s="502" t="str">
        <f>IF(V51=0,W51&amp;", ","")&amp;IF(V53=0,W53&amp;", ","")&amp;IF(V55=0,W55&amp;", ","")&amp;IF(V57=0,W57&amp;", ","")</f>
        <v xml:space="preserve">Newspaper, </v>
      </c>
    </row>
    <row r="59" spans="1:23" s="560" customFormat="1" ht="12.75" customHeight="1" thickBot="1">
      <c r="A59" s="555"/>
      <c r="B59" s="556"/>
      <c r="C59" s="556"/>
      <c r="D59" s="556"/>
      <c r="E59" s="557"/>
      <c r="F59" s="558"/>
      <c r="G59" s="558"/>
      <c r="H59" s="558"/>
      <c r="I59" s="559"/>
      <c r="V59" s="560" t="str">
        <f>IF(U58&lt;8,LEFT((V58),LEN(V58)-2)&amp;".","")</f>
        <v>Glass, Plastic, Metal.</v>
      </c>
      <c r="W59" s="560" t="str">
        <f>IF(U58&lt;9,LEFT((W58),LEN(W58)-2)&amp;".","")</f>
        <v>Newspaper.</v>
      </c>
    </row>
    <row r="60" spans="1:23" s="560" customFormat="1" ht="40.200000000000003" thickBot="1">
      <c r="A60" s="561"/>
      <c r="B60" s="562"/>
      <c r="C60" s="562"/>
      <c r="D60" s="562"/>
      <c r="E60" s="557"/>
      <c r="F60" s="563" t="s">
        <v>1789</v>
      </c>
      <c r="H60" s="564"/>
      <c r="I60" s="565">
        <f>I49+(SUM(I51:I57))</f>
        <v>1018</v>
      </c>
      <c r="J60" s="560" t="s">
        <v>1725</v>
      </c>
      <c r="M60" s="1113" t="s">
        <v>1790</v>
      </c>
      <c r="N60" s="509"/>
      <c r="O60" s="509"/>
    </row>
    <row r="61" spans="1:23" s="560" customFormat="1">
      <c r="A61" s="555"/>
      <c r="B61" s="555"/>
      <c r="C61" s="555"/>
      <c r="D61" s="555"/>
      <c r="E61" s="558"/>
      <c r="F61" s="558"/>
      <c r="G61" s="558"/>
      <c r="H61" s="558"/>
      <c r="I61" s="552"/>
      <c r="J61" s="552"/>
      <c r="M61" s="1109"/>
      <c r="N61" s="509"/>
      <c r="O61" s="509"/>
    </row>
    <row r="62" spans="1:23" s="560" customFormat="1">
      <c r="A62" s="555"/>
      <c r="B62" s="555"/>
      <c r="C62" s="555"/>
      <c r="D62" s="555"/>
      <c r="E62" s="558"/>
      <c r="F62" s="558"/>
      <c r="G62" s="558"/>
      <c r="H62" s="558"/>
      <c r="I62" s="552"/>
      <c r="J62" s="552"/>
      <c r="M62" s="1109"/>
      <c r="N62" s="509"/>
      <c r="O62" s="509"/>
    </row>
    <row r="63" spans="1:23" s="560" customFormat="1">
      <c r="A63" s="555"/>
      <c r="B63" s="555"/>
      <c r="C63" s="555"/>
      <c r="D63" s="555"/>
      <c r="E63" s="558"/>
      <c r="F63" s="558"/>
      <c r="G63" s="558"/>
      <c r="H63" s="558"/>
      <c r="I63" s="552"/>
      <c r="J63" s="552"/>
      <c r="M63" s="1109"/>
      <c r="N63" s="509"/>
      <c r="O63" s="509"/>
    </row>
    <row r="64" spans="1:23" s="560" customFormat="1" ht="13.8" thickBot="1">
      <c r="A64" s="555"/>
      <c r="B64" s="555"/>
      <c r="C64" s="555"/>
      <c r="D64" s="555"/>
      <c r="E64" s="558"/>
      <c r="F64" s="558"/>
      <c r="G64" s="558"/>
      <c r="H64" s="558"/>
      <c r="I64" s="552"/>
      <c r="J64" s="552"/>
      <c r="M64" s="507"/>
      <c r="N64" s="509"/>
      <c r="O64" s="509"/>
    </row>
    <row r="65" spans="1:86" s="560" customFormat="1" ht="13.8" thickBot="1">
      <c r="A65" s="566" t="s">
        <v>1791</v>
      </c>
      <c r="I65" s="520" t="e">
        <f>SUM(I16,I23,I32,I40,I60)</f>
        <v>#DIV/0!</v>
      </c>
      <c r="J65" s="560" t="s">
        <v>1725</v>
      </c>
      <c r="M65" s="1088" t="s">
        <v>1792</v>
      </c>
    </row>
    <row r="66" spans="1:86" s="567" customFormat="1" ht="36.75" customHeight="1">
      <c r="I66" s="1114" t="s">
        <v>1793</v>
      </c>
      <c r="J66" s="1082"/>
      <c r="K66" s="1082"/>
      <c r="M66" s="1100"/>
    </row>
    <row r="67" spans="1:86" s="567" customFormat="1" ht="12.75" customHeight="1">
      <c r="A67" s="568"/>
      <c r="M67" s="1100"/>
    </row>
    <row r="68" spans="1:86" s="567" customFormat="1">
      <c r="A68" s="568"/>
      <c r="B68" s="569"/>
      <c r="C68" s="569"/>
      <c r="D68" s="569"/>
      <c r="E68" s="569"/>
      <c r="F68" s="569"/>
      <c r="G68" s="569"/>
      <c r="H68" s="569"/>
      <c r="I68" s="569"/>
      <c r="J68" s="569"/>
      <c r="K68" s="569"/>
      <c r="L68" s="569"/>
      <c r="M68" s="569"/>
    </row>
    <row r="69" spans="1:86" s="567" customFormat="1">
      <c r="A69" s="568"/>
      <c r="B69" s="569"/>
      <c r="C69" s="569"/>
      <c r="D69" s="569"/>
      <c r="E69" s="569"/>
      <c r="F69" s="569"/>
      <c r="G69" s="569"/>
      <c r="H69" s="569"/>
      <c r="I69" s="569"/>
      <c r="J69" s="569"/>
      <c r="K69" s="569"/>
      <c r="L69" s="569"/>
      <c r="M69" s="569"/>
    </row>
    <row r="70" spans="1:86" s="567" customFormat="1">
      <c r="A70" s="570"/>
      <c r="B70" s="570"/>
      <c r="C70" s="570"/>
      <c r="D70" s="570"/>
      <c r="E70" s="570"/>
      <c r="F70" s="570"/>
      <c r="G70" s="570"/>
      <c r="H70" s="570"/>
      <c r="I70" s="570"/>
      <c r="J70" s="570"/>
      <c r="K70" s="570"/>
      <c r="L70" s="570"/>
      <c r="M70" s="570"/>
      <c r="N70" s="570"/>
      <c r="O70" s="570"/>
      <c r="P70" s="570"/>
      <c r="Q70" s="570"/>
    </row>
    <row r="71" spans="1:86" s="567" customFormat="1"/>
    <row r="72" spans="1:86" s="567" customFormat="1" ht="15.6">
      <c r="A72" s="504" t="s">
        <v>1794</v>
      </c>
    </row>
    <row r="73" spans="1:86" s="567" customFormat="1"/>
    <row r="74" spans="1:86" s="567" customFormat="1" ht="39.6">
      <c r="A74" s="508" t="s">
        <v>1795</v>
      </c>
      <c r="B74" s="571"/>
      <c r="C74" s="571"/>
      <c r="D74" s="571"/>
      <c r="E74" s="571"/>
      <c r="F74" s="571"/>
      <c r="G74" s="571"/>
      <c r="H74" s="571"/>
      <c r="I74" s="506" t="s">
        <v>1796</v>
      </c>
      <c r="J74" s="571"/>
      <c r="K74" s="572"/>
      <c r="L74" s="571"/>
      <c r="M74" s="571"/>
      <c r="N74" s="573"/>
      <c r="O74" s="574"/>
      <c r="P74" s="574"/>
      <c r="Q74" s="574"/>
    </row>
    <row r="75" spans="1:86" s="575" customFormat="1">
      <c r="A75" s="530" t="s">
        <v>1797</v>
      </c>
      <c r="F75" s="576"/>
      <c r="R75" s="577"/>
      <c r="S75" s="577"/>
      <c r="T75" s="577"/>
      <c r="U75" s="577"/>
      <c r="V75" s="577"/>
      <c r="W75" s="577"/>
      <c r="X75" s="577"/>
      <c r="Y75" s="577"/>
      <c r="Z75" s="577"/>
      <c r="AA75" s="577"/>
      <c r="AB75" s="577"/>
      <c r="AC75" s="577"/>
      <c r="AD75" s="577"/>
      <c r="AE75" s="577"/>
      <c r="AF75" s="577"/>
      <c r="AG75" s="577"/>
      <c r="AH75" s="577"/>
      <c r="AI75" s="577"/>
      <c r="AJ75" s="577"/>
      <c r="AK75" s="577"/>
      <c r="AL75" s="577"/>
      <c r="AM75" s="577"/>
      <c r="AN75" s="577"/>
      <c r="AO75" s="577"/>
      <c r="AP75" s="577"/>
      <c r="AQ75" s="577"/>
      <c r="AR75" s="577"/>
      <c r="AS75" s="577"/>
      <c r="AT75" s="577"/>
      <c r="AU75" s="577"/>
      <c r="AV75" s="577"/>
      <c r="AW75" s="577"/>
      <c r="AX75" s="577"/>
      <c r="AY75" s="577"/>
      <c r="AZ75" s="577"/>
      <c r="BA75" s="577"/>
      <c r="BB75" s="577"/>
      <c r="BC75" s="577"/>
      <c r="BD75" s="577"/>
      <c r="BE75" s="577"/>
      <c r="BF75" s="577"/>
      <c r="BG75" s="577"/>
      <c r="BH75" s="577"/>
      <c r="BI75" s="577"/>
      <c r="BJ75" s="577"/>
      <c r="BK75" s="577"/>
      <c r="BL75" s="577"/>
      <c r="BM75" s="577"/>
      <c r="BN75" s="577"/>
      <c r="BO75" s="577"/>
      <c r="BP75" s="577"/>
      <c r="BQ75" s="577"/>
      <c r="BR75" s="577"/>
      <c r="BS75" s="577"/>
      <c r="BT75" s="577"/>
      <c r="BU75" s="577"/>
      <c r="BV75" s="577"/>
      <c r="BW75" s="577"/>
      <c r="BX75" s="577"/>
      <c r="BY75" s="577"/>
      <c r="BZ75" s="577"/>
      <c r="CA75" s="577"/>
      <c r="CB75" s="577"/>
      <c r="CC75" s="577"/>
      <c r="CD75" s="577"/>
      <c r="CE75" s="577"/>
      <c r="CF75" s="577"/>
      <c r="CG75" s="577"/>
      <c r="CH75" s="577"/>
    </row>
    <row r="76" spans="1:86" s="567" customFormat="1" ht="13.8" thickBot="1"/>
    <row r="77" spans="1:86" s="567" customFormat="1" ht="13.8" thickBot="1">
      <c r="A77" s="1103" t="s">
        <v>1798</v>
      </c>
      <c r="B77" s="1107"/>
      <c r="C77" s="1107"/>
      <c r="D77" s="1107"/>
      <c r="E77" s="1107"/>
      <c r="F77" s="579">
        <v>0</v>
      </c>
      <c r="I77" s="580" t="e">
        <f>I16-IF(I12=1,(F12*52)/(F16+F77)*19.4*(100/95),(F12)/(F16+F77)*19.4*(100/95))</f>
        <v>#DIV/0!</v>
      </c>
      <c r="K77" s="581" t="e">
        <f>I77/I65</f>
        <v>#DIV/0!</v>
      </c>
      <c r="M77" s="1115" t="s">
        <v>2503</v>
      </c>
      <c r="N77" s="528" t="s">
        <v>1799</v>
      </c>
      <c r="O77" s="569"/>
      <c r="P77" s="569"/>
      <c r="Q77" s="569"/>
      <c r="R77" s="569"/>
      <c r="S77" s="569"/>
      <c r="T77" s="569"/>
      <c r="U77" s="569"/>
    </row>
    <row r="78" spans="1:86" s="567" customFormat="1" ht="28.5" customHeight="1">
      <c r="A78" s="1107"/>
      <c r="B78" s="1107"/>
      <c r="C78" s="1107"/>
      <c r="D78" s="1107"/>
      <c r="E78" s="1107"/>
      <c r="F78" s="582" t="s">
        <v>1800</v>
      </c>
      <c r="I78" s="548" t="s">
        <v>1801</v>
      </c>
      <c r="J78" s="569"/>
      <c r="K78" s="583"/>
      <c r="L78" s="584"/>
      <c r="M78" s="1109"/>
      <c r="N78" s="528" t="s">
        <v>1741</v>
      </c>
      <c r="O78" s="569"/>
      <c r="P78" s="569"/>
      <c r="Q78" s="569"/>
      <c r="R78" s="569"/>
      <c r="S78" s="569"/>
      <c r="T78" s="569"/>
      <c r="U78" s="569"/>
    </row>
    <row r="79" spans="1:86" s="567" customFormat="1">
      <c r="F79" s="502" t="s">
        <v>1802</v>
      </c>
      <c r="I79" s="585"/>
      <c r="K79" s="502"/>
      <c r="M79" s="1100"/>
      <c r="N79" s="502"/>
    </row>
    <row r="80" spans="1:86" s="567" customFormat="1">
      <c r="F80" s="502"/>
      <c r="I80" s="585"/>
      <c r="K80" s="502"/>
      <c r="M80" s="1089"/>
      <c r="N80" s="502"/>
    </row>
    <row r="81" spans="1:19" s="567" customFormat="1" ht="13.8" thickBot="1">
      <c r="I81" s="585"/>
      <c r="K81" s="502"/>
      <c r="N81" s="502"/>
    </row>
    <row r="82" spans="1:19" s="567" customFormat="1" ht="13.8" thickBot="1">
      <c r="A82" s="1103" t="s">
        <v>1803</v>
      </c>
      <c r="B82" s="1092"/>
      <c r="C82" s="1092"/>
      <c r="D82" s="1092"/>
      <c r="F82" s="579"/>
      <c r="I82" s="543" t="e">
        <f>IF(F77=0,(F82*52)/F16*19.4*(100/95),IF(F77&gt;0,(F82*52)/(F16+F77)*19.4*(100/95)))</f>
        <v>#DIV/0!</v>
      </c>
      <c r="K82" s="581" t="e">
        <f>I82/I65</f>
        <v>#DIV/0!</v>
      </c>
      <c r="M82" s="1098" t="s">
        <v>1804</v>
      </c>
      <c r="N82" s="528" t="s">
        <v>1799</v>
      </c>
    </row>
    <row r="83" spans="1:19" s="567" customFormat="1">
      <c r="A83" s="1092"/>
      <c r="B83" s="1092"/>
      <c r="C83" s="1092"/>
      <c r="D83" s="1092"/>
      <c r="F83" s="502" t="s">
        <v>1805</v>
      </c>
      <c r="I83" s="502" t="s">
        <v>1801</v>
      </c>
      <c r="K83" s="583"/>
      <c r="L83" s="584"/>
      <c r="M83" s="1109"/>
      <c r="N83" s="528" t="s">
        <v>1741</v>
      </c>
    </row>
    <row r="84" spans="1:19" s="567" customFormat="1">
      <c r="A84" s="586"/>
      <c r="C84" s="587"/>
      <c r="D84" s="588"/>
      <c r="F84" s="502" t="s">
        <v>1806</v>
      </c>
      <c r="I84" s="589"/>
      <c r="K84" s="583"/>
      <c r="L84" s="584"/>
      <c r="M84" s="1109"/>
      <c r="N84" s="502"/>
    </row>
    <row r="85" spans="1:19" s="567" customFormat="1">
      <c r="A85" s="586"/>
      <c r="C85" s="587"/>
      <c r="D85" s="588"/>
      <c r="F85" s="502"/>
      <c r="I85" s="589"/>
      <c r="K85" s="583"/>
      <c r="L85" s="584"/>
      <c r="M85" s="1087"/>
      <c r="N85" s="502"/>
    </row>
    <row r="86" spans="1:19" s="567" customFormat="1">
      <c r="I86" s="585"/>
      <c r="K86" s="502"/>
    </row>
    <row r="87" spans="1:19" s="567" customFormat="1">
      <c r="A87" s="530" t="s">
        <v>1807</v>
      </c>
      <c r="B87" s="590"/>
      <c r="C87" s="590"/>
      <c r="D87" s="590"/>
      <c r="E87" s="590"/>
      <c r="F87" s="590"/>
      <c r="G87" s="590"/>
      <c r="H87" s="590"/>
      <c r="I87" s="591"/>
      <c r="J87" s="590"/>
      <c r="K87" s="546"/>
      <c r="L87" s="590"/>
      <c r="M87" s="590"/>
      <c r="N87" s="546"/>
      <c r="O87" s="546"/>
      <c r="P87" s="590"/>
      <c r="Q87" s="590"/>
    </row>
    <row r="88" spans="1:19" s="593" customFormat="1" ht="13.8" thickBot="1">
      <c r="A88" s="592"/>
      <c r="I88" s="594"/>
      <c r="K88" s="595"/>
      <c r="N88" s="595"/>
      <c r="O88" s="595"/>
    </row>
    <row r="89" spans="1:19" s="567" customFormat="1" ht="13.8" thickBot="1">
      <c r="A89" s="596" t="s">
        <v>1808</v>
      </c>
      <c r="B89" s="596"/>
      <c r="C89" s="596"/>
      <c r="D89" s="502"/>
      <c r="E89" s="502"/>
      <c r="F89" s="579"/>
      <c r="G89" s="502"/>
      <c r="H89" s="502"/>
      <c r="I89" s="597">
        <f>IF(F7=2,(I23*0.33*0.01*F89),IF(F7=1,(I32*0.42*0.01*F89),IF(F7=3,(I40*0.42*0.01*F89))))</f>
        <v>0</v>
      </c>
      <c r="J89" s="502"/>
      <c r="K89" s="598" t="e">
        <f>I89/I65</f>
        <v>#DIV/0!</v>
      </c>
      <c r="L89" s="502"/>
      <c r="M89" s="1094" t="s">
        <v>1809</v>
      </c>
      <c r="N89" s="528" t="s">
        <v>1810</v>
      </c>
      <c r="O89" s="528"/>
      <c r="P89" s="599"/>
      <c r="Q89" s="569"/>
      <c r="R89" s="569"/>
      <c r="S89" s="569"/>
    </row>
    <row r="90" spans="1:19" s="567" customFormat="1">
      <c r="A90" s="596" t="s">
        <v>1811</v>
      </c>
      <c r="B90" s="596"/>
      <c r="C90" s="596"/>
      <c r="D90" s="502"/>
      <c r="E90" s="502"/>
      <c r="F90" s="502" t="s">
        <v>1812</v>
      </c>
      <c r="G90" s="502"/>
      <c r="H90" s="502"/>
      <c r="I90" s="525" t="s">
        <v>1801</v>
      </c>
      <c r="J90" s="502"/>
      <c r="K90" s="600"/>
      <c r="L90" s="502"/>
      <c r="M90" s="1095"/>
      <c r="N90" s="528"/>
      <c r="O90" s="528"/>
      <c r="P90" s="599"/>
      <c r="Q90" s="569"/>
      <c r="R90" s="569"/>
      <c r="S90" s="569"/>
    </row>
    <row r="91" spans="1:19" s="567" customFormat="1">
      <c r="A91" s="596"/>
      <c r="B91" s="596"/>
      <c r="C91" s="596"/>
      <c r="D91" s="502"/>
      <c r="E91" s="502"/>
      <c r="F91" s="601" t="s">
        <v>1813</v>
      </c>
      <c r="G91" s="502"/>
      <c r="H91" s="502"/>
      <c r="J91" s="502"/>
      <c r="K91" s="502"/>
      <c r="L91" s="502"/>
      <c r="M91" s="1095"/>
      <c r="N91" s="528"/>
      <c r="O91" s="528"/>
      <c r="P91" s="599"/>
      <c r="Q91" s="569"/>
      <c r="R91" s="569"/>
      <c r="S91" s="569"/>
    </row>
    <row r="92" spans="1:19" s="567" customFormat="1" ht="13.8" thickBot="1">
      <c r="A92" s="596"/>
      <c r="B92" s="596"/>
      <c r="C92" s="596"/>
      <c r="D92" s="502"/>
      <c r="E92" s="502"/>
      <c r="F92" s="502"/>
      <c r="G92" s="502"/>
      <c r="H92" s="502"/>
      <c r="I92" s="602"/>
      <c r="J92" s="502"/>
      <c r="K92" s="502"/>
      <c r="L92" s="502"/>
      <c r="M92" s="502"/>
      <c r="N92" s="528"/>
      <c r="O92" s="528"/>
      <c r="P92" s="599"/>
      <c r="Q92" s="569"/>
      <c r="R92" s="569"/>
      <c r="S92" s="569"/>
    </row>
    <row r="93" spans="1:19" s="567" customFormat="1" ht="13.8" thickBot="1">
      <c r="A93" s="1096" t="s">
        <v>1814</v>
      </c>
      <c r="B93" s="1097"/>
      <c r="C93" s="1097"/>
      <c r="D93" s="1097"/>
      <c r="E93" s="502"/>
      <c r="F93" s="579"/>
      <c r="G93" s="502"/>
      <c r="H93" s="502"/>
      <c r="I93" s="597">
        <f>F93*73*1.37</f>
        <v>0</v>
      </c>
      <c r="J93" s="502"/>
      <c r="K93" s="581" t="e">
        <f>I93/I65</f>
        <v>#DIV/0!</v>
      </c>
      <c r="L93" s="502"/>
      <c r="M93" s="1098" t="s">
        <v>1815</v>
      </c>
      <c r="N93" s="528" t="s">
        <v>1749</v>
      </c>
      <c r="O93" s="528"/>
      <c r="P93" s="599"/>
      <c r="Q93" s="569"/>
      <c r="R93" s="569"/>
      <c r="S93" s="569"/>
    </row>
    <row r="94" spans="1:19" s="567" customFormat="1" ht="33.75" customHeight="1">
      <c r="A94" s="1097"/>
      <c r="B94" s="1097"/>
      <c r="C94" s="1097"/>
      <c r="D94" s="1097"/>
      <c r="E94" s="603"/>
      <c r="F94" s="1101" t="s">
        <v>1816</v>
      </c>
      <c r="G94" s="1089"/>
      <c r="H94" s="502"/>
      <c r="I94" s="604" t="s">
        <v>1801</v>
      </c>
      <c r="J94" s="502"/>
      <c r="K94" s="502"/>
      <c r="L94" s="502"/>
      <c r="M94" s="1099"/>
      <c r="N94" s="528" t="s">
        <v>1817</v>
      </c>
      <c r="O94" s="605"/>
      <c r="P94" s="605"/>
      <c r="Q94" s="569"/>
      <c r="R94" s="569"/>
      <c r="S94" s="569"/>
    </row>
    <row r="95" spans="1:19" s="567" customFormat="1" ht="45.75" customHeight="1">
      <c r="A95" s="606"/>
      <c r="B95" s="606"/>
      <c r="C95" s="606"/>
      <c r="D95" s="607"/>
      <c r="E95" s="607"/>
      <c r="F95" s="1088" t="s">
        <v>1818</v>
      </c>
      <c r="G95" s="1102"/>
      <c r="H95" s="1102"/>
      <c r="I95" s="1102"/>
      <c r="J95" s="1102"/>
      <c r="K95" s="1102"/>
      <c r="L95" s="502"/>
      <c r="M95" s="1100"/>
      <c r="N95" s="503"/>
      <c r="O95" s="503"/>
      <c r="P95" s="569"/>
      <c r="Q95" s="569"/>
      <c r="R95" s="569"/>
      <c r="S95" s="569"/>
    </row>
    <row r="96" spans="1:19" s="567" customFormat="1" ht="13.8" thickBot="1">
      <c r="A96" s="502"/>
      <c r="B96" s="502"/>
      <c r="C96" s="502"/>
      <c r="D96" s="502"/>
      <c r="E96" s="502"/>
      <c r="F96" s="502"/>
      <c r="G96" s="502"/>
      <c r="H96" s="502"/>
      <c r="I96" s="608"/>
      <c r="J96" s="502"/>
      <c r="K96" s="502"/>
      <c r="L96" s="502"/>
      <c r="M96" s="502"/>
      <c r="N96" s="503"/>
      <c r="O96" s="503"/>
      <c r="P96" s="569"/>
      <c r="Q96" s="569"/>
      <c r="R96" s="569"/>
      <c r="S96" s="569"/>
    </row>
    <row r="97" spans="1:19" s="567" customFormat="1" ht="13.8" thickBot="1">
      <c r="A97" s="1103" t="s">
        <v>1819</v>
      </c>
      <c r="B97" s="1103"/>
      <c r="C97" s="1103"/>
      <c r="D97" s="1103"/>
      <c r="E97" s="1103"/>
      <c r="F97" s="609">
        <v>2</v>
      </c>
      <c r="G97" s="578"/>
      <c r="H97" s="578"/>
      <c r="I97" s="597">
        <f>IF(F97=1,521,IF(F97=2,0))</f>
        <v>0</v>
      </c>
      <c r="J97" s="502"/>
      <c r="K97" s="581" t="e">
        <f>I97/I65</f>
        <v>#DIV/0!</v>
      </c>
      <c r="L97" s="502"/>
      <c r="M97" s="1098" t="s">
        <v>1820</v>
      </c>
      <c r="N97" s="503" t="s">
        <v>1749</v>
      </c>
      <c r="O97" s="503"/>
      <c r="P97" s="569"/>
      <c r="Q97" s="569"/>
      <c r="R97" s="569"/>
      <c r="S97" s="569"/>
    </row>
    <row r="98" spans="1:19" s="567" customFormat="1">
      <c r="A98" s="1104"/>
      <c r="B98" s="1104"/>
      <c r="C98" s="1104"/>
      <c r="D98" s="1104"/>
      <c r="E98" s="1104"/>
      <c r="F98" s="502" t="s">
        <v>1777</v>
      </c>
      <c r="G98" s="502"/>
      <c r="H98" s="502"/>
      <c r="I98" s="525" t="s">
        <v>1801</v>
      </c>
      <c r="J98" s="502"/>
      <c r="K98" s="502"/>
      <c r="L98" s="502"/>
      <c r="M98" s="1100"/>
      <c r="N98" s="503" t="s">
        <v>1821</v>
      </c>
      <c r="O98" s="503"/>
      <c r="P98" s="569"/>
      <c r="Q98" s="569"/>
      <c r="R98" s="569"/>
      <c r="S98" s="569"/>
    </row>
    <row r="99" spans="1:19" s="567" customFormat="1">
      <c r="A99" s="1104"/>
      <c r="B99" s="1104"/>
      <c r="C99" s="1104"/>
      <c r="D99" s="1104"/>
      <c r="E99" s="1104"/>
      <c r="F99" s="502"/>
      <c r="G99" s="502"/>
      <c r="H99" s="502"/>
      <c r="I99" s="602"/>
      <c r="J99" s="502"/>
      <c r="K99" s="502"/>
      <c r="L99" s="502"/>
      <c r="M99" s="1100"/>
      <c r="N99" s="503" t="s">
        <v>1822</v>
      </c>
      <c r="O99" s="503"/>
      <c r="P99" s="569"/>
      <c r="Q99" s="569"/>
      <c r="R99" s="569"/>
      <c r="S99" s="569"/>
    </row>
    <row r="100" spans="1:19" s="567" customFormat="1">
      <c r="A100" s="502"/>
      <c r="B100" s="502"/>
      <c r="C100" s="502"/>
      <c r="D100" s="502"/>
      <c r="E100" s="502"/>
      <c r="F100" s="502"/>
      <c r="G100" s="502"/>
      <c r="H100" s="502"/>
      <c r="I100" s="608"/>
      <c r="J100" s="502"/>
      <c r="K100" s="502"/>
      <c r="L100" s="502"/>
      <c r="M100" s="1100"/>
      <c r="N100" s="502" t="s">
        <v>1823</v>
      </c>
      <c r="O100" s="503"/>
      <c r="P100" s="569"/>
      <c r="Q100" s="569"/>
      <c r="R100" s="569"/>
      <c r="S100" s="569"/>
    </row>
    <row r="101" spans="1:19" s="567" customFormat="1" ht="13.8" thickBot="1">
      <c r="A101" s="502"/>
      <c r="B101" s="502"/>
      <c r="C101" s="502"/>
      <c r="D101" s="502"/>
      <c r="E101" s="502"/>
      <c r="F101" s="502"/>
      <c r="G101" s="502"/>
      <c r="H101" s="502"/>
      <c r="I101" s="608"/>
      <c r="J101" s="502"/>
      <c r="K101" s="502"/>
      <c r="L101" s="502"/>
      <c r="M101" s="523"/>
      <c r="N101" s="502"/>
      <c r="O101" s="503"/>
      <c r="P101" s="569"/>
      <c r="Q101" s="569"/>
      <c r="R101" s="569"/>
      <c r="S101" s="569"/>
    </row>
    <row r="102" spans="1:19" s="567" customFormat="1" ht="13.8" thickBot="1">
      <c r="A102" s="1103" t="s">
        <v>1824</v>
      </c>
      <c r="B102" s="1105"/>
      <c r="C102" s="1105"/>
      <c r="D102" s="1105"/>
      <c r="E102" s="1105"/>
      <c r="F102" s="579">
        <v>2</v>
      </c>
      <c r="G102" s="502"/>
      <c r="H102" s="502"/>
      <c r="I102" s="597">
        <f>IF(F102=2,0,IF(F102=1,IF(F7=2,0,IF(F7=1,3011,IF(F7=3,4151)))))</f>
        <v>0</v>
      </c>
      <c r="J102" s="502"/>
      <c r="K102" s="581" t="b">
        <f>IF(I102="Not Applicable",0,IF(I102&gt;0,I102/I65))</f>
        <v>0</v>
      </c>
      <c r="L102" s="502"/>
      <c r="M102" s="1106" t="s">
        <v>1825</v>
      </c>
      <c r="N102" s="503" t="s">
        <v>1826</v>
      </c>
      <c r="O102" s="503"/>
      <c r="P102" s="569"/>
      <c r="Q102" s="569"/>
      <c r="R102" s="569"/>
      <c r="S102" s="569"/>
    </row>
    <row r="103" spans="1:19" s="567" customFormat="1">
      <c r="A103" s="1104"/>
      <c r="B103" s="1104"/>
      <c r="C103" s="1104"/>
      <c r="D103" s="1104"/>
      <c r="E103" s="1104"/>
      <c r="F103" s="502" t="s">
        <v>1827</v>
      </c>
      <c r="G103" s="502"/>
      <c r="H103" s="502"/>
      <c r="I103" s="502" t="s">
        <v>1801</v>
      </c>
      <c r="J103" s="502"/>
      <c r="K103" s="502"/>
      <c r="L103" s="502"/>
      <c r="M103" s="1107"/>
      <c r="N103" s="502" t="s">
        <v>1828</v>
      </c>
      <c r="O103" s="502"/>
    </row>
    <row r="104" spans="1:19" s="567" customFormat="1">
      <c r="A104" s="1104"/>
      <c r="B104" s="1104"/>
      <c r="C104" s="1104"/>
      <c r="D104" s="1104"/>
      <c r="E104" s="1104"/>
      <c r="F104" s="502"/>
      <c r="G104" s="502"/>
      <c r="H104" s="502"/>
      <c r="I104" s="502"/>
      <c r="J104" s="502"/>
      <c r="K104" s="502"/>
      <c r="L104" s="502"/>
      <c r="M104" s="507"/>
      <c r="N104" s="503" t="s">
        <v>1764</v>
      </c>
      <c r="O104" s="502"/>
    </row>
    <row r="105" spans="1:19" s="567" customFormat="1">
      <c r="A105" s="502"/>
      <c r="B105" s="502"/>
      <c r="C105" s="502"/>
      <c r="D105" s="502"/>
      <c r="E105" s="502"/>
      <c r="F105" s="502"/>
      <c r="G105" s="502"/>
      <c r="H105" s="502"/>
      <c r="I105" s="502"/>
      <c r="J105" s="502"/>
      <c r="K105" s="502"/>
      <c r="L105" s="502"/>
      <c r="M105" s="502"/>
      <c r="N105" s="503" t="s">
        <v>1757</v>
      </c>
      <c r="O105" s="502"/>
    </row>
    <row r="106" spans="1:19" s="567" customFormat="1" ht="13.8" thickBot="1">
      <c r="A106" s="502"/>
      <c r="B106" s="502"/>
      <c r="C106" s="502"/>
      <c r="D106" s="502"/>
      <c r="E106" s="502"/>
      <c r="F106" s="502"/>
      <c r="G106" s="502"/>
      <c r="H106" s="502"/>
      <c r="I106" s="502"/>
      <c r="J106" s="502"/>
      <c r="K106" s="502"/>
      <c r="L106" s="502"/>
      <c r="M106" s="502"/>
      <c r="N106" s="502"/>
      <c r="O106" s="502"/>
    </row>
    <row r="107" spans="1:19" s="567" customFormat="1" ht="13.8" thickBot="1">
      <c r="A107" s="610" t="s">
        <v>1829</v>
      </c>
      <c r="B107" s="502"/>
      <c r="C107" s="502"/>
      <c r="D107" s="502"/>
      <c r="E107" s="502"/>
      <c r="F107" s="579"/>
      <c r="G107" s="502"/>
      <c r="H107" s="502"/>
      <c r="I107" s="597">
        <f>I23*0.16*0.05*0.42*F107</f>
        <v>0</v>
      </c>
      <c r="J107" s="502"/>
      <c r="K107" s="598" t="e">
        <f>I107/I65</f>
        <v>#DIV/0!</v>
      </c>
      <c r="L107" s="502"/>
      <c r="M107" s="1108" t="s">
        <v>1830</v>
      </c>
      <c r="N107" s="503" t="s">
        <v>1831</v>
      </c>
      <c r="O107" s="503"/>
      <c r="P107" s="569"/>
      <c r="Q107" s="569"/>
      <c r="R107" s="569"/>
    </row>
    <row r="108" spans="1:19" s="567" customFormat="1">
      <c r="A108" s="596" t="s">
        <v>1832</v>
      </c>
      <c r="B108" s="502"/>
      <c r="C108" s="502"/>
      <c r="D108" s="502"/>
      <c r="E108" s="502"/>
      <c r="F108" s="502" t="s">
        <v>1812</v>
      </c>
      <c r="G108" s="502"/>
      <c r="H108" s="502"/>
      <c r="I108" s="525" t="s">
        <v>1801</v>
      </c>
      <c r="J108" s="502"/>
      <c r="K108" s="502"/>
      <c r="L108" s="502"/>
      <c r="M108" s="1100"/>
      <c r="N108" s="503" t="s">
        <v>1833</v>
      </c>
      <c r="O108" s="503"/>
      <c r="P108" s="569"/>
      <c r="Q108" s="569"/>
      <c r="R108" s="569"/>
    </row>
    <row r="109" spans="1:19" s="567" customFormat="1" ht="30" customHeight="1">
      <c r="A109" s="502"/>
      <c r="B109" s="502"/>
      <c r="C109" s="502"/>
      <c r="D109" s="502"/>
      <c r="E109" s="502"/>
      <c r="F109" s="502"/>
      <c r="G109" s="502"/>
      <c r="H109" s="502"/>
      <c r="I109" s="611"/>
      <c r="J109" s="502"/>
      <c r="K109" s="502"/>
      <c r="L109" s="502"/>
      <c r="M109" s="1100"/>
      <c r="N109" s="528" t="s">
        <v>1834</v>
      </c>
      <c r="O109" s="509"/>
      <c r="P109" s="612"/>
      <c r="Q109" s="612"/>
      <c r="R109" s="569"/>
    </row>
    <row r="110" spans="1:19" s="567" customFormat="1">
      <c r="A110" s="502"/>
      <c r="B110" s="502"/>
      <c r="C110" s="502"/>
      <c r="D110" s="502"/>
      <c r="E110" s="502"/>
      <c r="F110" s="502"/>
      <c r="G110" s="502"/>
      <c r="H110" s="502"/>
      <c r="I110" s="611"/>
      <c r="J110" s="502"/>
      <c r="K110" s="502"/>
      <c r="L110" s="502"/>
      <c r="M110" s="507"/>
      <c r="N110" s="503"/>
      <c r="O110" s="509"/>
      <c r="P110" s="612"/>
      <c r="Q110" s="612"/>
      <c r="R110" s="569"/>
    </row>
    <row r="111" spans="1:19" s="567" customFormat="1" ht="13.8" thickBot="1">
      <c r="A111" s="502"/>
      <c r="B111" s="502"/>
      <c r="C111" s="502"/>
      <c r="D111" s="502"/>
      <c r="E111" s="502"/>
      <c r="F111" s="502"/>
      <c r="G111" s="502"/>
      <c r="H111" s="502"/>
      <c r="I111" s="611"/>
      <c r="J111" s="502"/>
      <c r="K111" s="502"/>
      <c r="L111" s="502"/>
      <c r="M111" s="507"/>
      <c r="N111" s="503" t="s">
        <v>1835</v>
      </c>
      <c r="O111" s="509"/>
      <c r="P111" s="613"/>
      <c r="Q111" s="612"/>
      <c r="R111" s="569"/>
    </row>
    <row r="112" spans="1:19" s="567" customFormat="1" ht="13.8" thickBot="1">
      <c r="A112" s="1103" t="s">
        <v>1836</v>
      </c>
      <c r="B112" s="1092"/>
      <c r="C112" s="1092"/>
      <c r="D112" s="1092"/>
      <c r="E112" s="1092"/>
      <c r="F112" s="579">
        <v>2</v>
      </c>
      <c r="G112" s="502"/>
      <c r="H112" s="502"/>
      <c r="I112" s="597">
        <f>IF(F112=2,0,IF(F112=1,IF(F7=2,3884,IF(F7=1,3320,IF(F6=3,4577)))))</f>
        <v>0</v>
      </c>
      <c r="J112" s="502"/>
      <c r="K112" s="581" t="e">
        <f>I112/I65</f>
        <v>#DIV/0!</v>
      </c>
      <c r="L112" s="502"/>
      <c r="M112" s="1098" t="s">
        <v>1837</v>
      </c>
      <c r="N112" s="503" t="s">
        <v>1838</v>
      </c>
      <c r="O112" s="509"/>
      <c r="P112" s="614"/>
      <c r="Q112" s="612"/>
      <c r="R112" s="569"/>
      <c r="S112" s="569"/>
    </row>
    <row r="113" spans="1:21" s="567" customFormat="1">
      <c r="A113" s="1092"/>
      <c r="B113" s="1092"/>
      <c r="C113" s="1092"/>
      <c r="D113" s="1092"/>
      <c r="E113" s="1092"/>
      <c r="F113" s="502" t="s">
        <v>1777</v>
      </c>
      <c r="G113" s="502"/>
      <c r="H113" s="502"/>
      <c r="I113" s="525" t="s">
        <v>1801</v>
      </c>
      <c r="J113" s="502"/>
      <c r="K113" s="502"/>
      <c r="L113" s="502"/>
      <c r="M113" s="1089"/>
      <c r="N113" s="503" t="s">
        <v>1764</v>
      </c>
      <c r="O113" s="509"/>
      <c r="P113" s="612"/>
      <c r="Q113" s="612"/>
      <c r="R113" s="569"/>
      <c r="S113" s="569"/>
    </row>
    <row r="114" spans="1:21" s="567" customFormat="1">
      <c r="A114" s="1105"/>
      <c r="B114" s="1105"/>
      <c r="C114" s="1105"/>
      <c r="D114" s="1105"/>
      <c r="E114" s="1105"/>
      <c r="F114" s="502"/>
      <c r="G114" s="502"/>
      <c r="H114" s="502"/>
      <c r="I114" s="611"/>
      <c r="J114" s="502"/>
      <c r="K114" s="502"/>
      <c r="L114" s="502"/>
      <c r="M114" s="1089"/>
      <c r="N114" s="503" t="s">
        <v>1757</v>
      </c>
      <c r="O114" s="503"/>
      <c r="P114" s="569"/>
      <c r="Q114" s="569"/>
      <c r="R114" s="569"/>
    </row>
    <row r="115" spans="1:21" s="567" customFormat="1">
      <c r="A115" s="530" t="s">
        <v>1766</v>
      </c>
      <c r="B115" s="546"/>
      <c r="C115" s="546"/>
      <c r="D115" s="546"/>
      <c r="E115" s="546"/>
      <c r="F115" s="546"/>
      <c r="G115" s="546"/>
      <c r="H115" s="546"/>
      <c r="I115" s="615"/>
      <c r="J115" s="546"/>
      <c r="K115" s="546"/>
      <c r="L115" s="546"/>
      <c r="M115" s="546"/>
      <c r="N115" s="546"/>
      <c r="O115" s="546"/>
      <c r="P115" s="590"/>
      <c r="Q115" s="590"/>
    </row>
    <row r="116" spans="1:21">
      <c r="A116" s="616"/>
      <c r="B116" s="616"/>
      <c r="C116" s="616"/>
      <c r="D116" s="616"/>
      <c r="E116" s="616"/>
      <c r="F116" s="617"/>
      <c r="G116" s="618"/>
      <c r="H116" s="618"/>
      <c r="I116" s="619"/>
      <c r="K116" s="583"/>
      <c r="L116" s="620"/>
      <c r="M116" s="620"/>
    </row>
    <row r="117" spans="1:21" ht="13.8" thickBot="1">
      <c r="A117" s="1093"/>
      <c r="B117" s="1093"/>
      <c r="C117" s="1093"/>
      <c r="D117" s="1093"/>
      <c r="E117" s="1093"/>
      <c r="F117" s="617"/>
      <c r="G117" s="618"/>
      <c r="H117" s="618"/>
      <c r="I117" s="619"/>
      <c r="K117" s="583"/>
      <c r="L117" s="620"/>
      <c r="M117" s="620"/>
    </row>
    <row r="118" spans="1:21" ht="13.8" thickBot="1">
      <c r="A118" s="1086" t="s">
        <v>1839</v>
      </c>
      <c r="B118" s="1086"/>
      <c r="C118" s="1086"/>
      <c r="D118" s="1086"/>
      <c r="E118" s="1086"/>
      <c r="F118" s="579">
        <v>2</v>
      </c>
      <c r="G118" s="618"/>
      <c r="H118" s="618"/>
      <c r="I118" s="543">
        <f>-IF(F118=1,SUM(IF(F51=2,$F$6*-184.3,0),IF(F53=2,$F$6*-25.6,0),IF(F55=2,$F$6*-46.58,0),IF(F57=2,$F$6*-165.79,0)),0)</f>
        <v>0</v>
      </c>
      <c r="K118" s="581" t="e">
        <f>I118/I65</f>
        <v>#DIV/0!</v>
      </c>
      <c r="M118" s="1088" t="s">
        <v>1840</v>
      </c>
      <c r="N118" s="502" t="s">
        <v>1775</v>
      </c>
      <c r="U118" s="621">
        <v>1</v>
      </c>
    </row>
    <row r="119" spans="1:21">
      <c r="A119" s="1086"/>
      <c r="B119" s="1086"/>
      <c r="C119" s="1086"/>
      <c r="D119" s="1086"/>
      <c r="E119" s="1086"/>
      <c r="F119" s="1090" t="s">
        <v>1841</v>
      </c>
      <c r="G119" s="1091"/>
      <c r="H119" s="618"/>
      <c r="I119" s="502" t="s">
        <v>1842</v>
      </c>
      <c r="K119" s="583"/>
      <c r="L119" s="620"/>
      <c r="M119" s="1088"/>
      <c r="N119" s="502" t="s">
        <v>1780</v>
      </c>
      <c r="U119" s="620"/>
    </row>
    <row r="120" spans="1:21">
      <c r="A120" s="1086"/>
      <c r="B120" s="1086"/>
      <c r="C120" s="1086"/>
      <c r="D120" s="1086"/>
      <c r="E120" s="1086"/>
      <c r="F120" s="618"/>
      <c r="G120" s="622"/>
      <c r="H120" s="618"/>
      <c r="I120" s="619"/>
      <c r="K120" s="583"/>
      <c r="L120" s="620"/>
      <c r="M120" s="1088"/>
      <c r="N120" s="502" t="s">
        <v>1783</v>
      </c>
      <c r="U120" s="620"/>
    </row>
    <row r="121" spans="1:21">
      <c r="A121" s="1086"/>
      <c r="B121" s="1086"/>
      <c r="C121" s="1086"/>
      <c r="D121" s="1086"/>
      <c r="E121" s="1086"/>
      <c r="F121" s="618"/>
      <c r="G121" s="622"/>
      <c r="H121" s="618"/>
      <c r="I121" s="619"/>
      <c r="K121" s="583"/>
      <c r="L121" s="620"/>
      <c r="M121" s="1088"/>
      <c r="N121" s="502" t="s">
        <v>1787</v>
      </c>
      <c r="U121" s="620"/>
    </row>
    <row r="122" spans="1:21">
      <c r="A122" s="1086"/>
      <c r="B122" s="1086"/>
      <c r="C122" s="1086"/>
      <c r="D122" s="1086"/>
      <c r="E122" s="1086"/>
      <c r="F122" s="618"/>
      <c r="G122" s="622"/>
      <c r="H122" s="618"/>
      <c r="I122" s="619"/>
      <c r="K122" s="583"/>
      <c r="L122" s="620"/>
      <c r="M122" s="1088"/>
      <c r="U122" s="620"/>
    </row>
    <row r="123" spans="1:21">
      <c r="A123" s="1086"/>
      <c r="B123" s="1086"/>
      <c r="C123" s="1086"/>
      <c r="D123" s="1086"/>
      <c r="E123" s="1086"/>
      <c r="F123" s="618"/>
      <c r="G123" s="622"/>
      <c r="H123" s="618"/>
      <c r="I123" s="619"/>
      <c r="K123" s="583"/>
      <c r="L123" s="620"/>
      <c r="M123" s="1088"/>
      <c r="U123" s="620"/>
    </row>
    <row r="124" spans="1:21">
      <c r="A124" s="1086"/>
      <c r="B124" s="1086"/>
      <c r="C124" s="1086"/>
      <c r="D124" s="1086"/>
      <c r="E124" s="1086"/>
      <c r="F124" s="618"/>
      <c r="G124" s="622"/>
      <c r="H124" s="618"/>
      <c r="I124" s="619"/>
      <c r="K124" s="583"/>
      <c r="L124" s="620"/>
      <c r="M124" s="1088"/>
      <c r="U124" s="620"/>
    </row>
    <row r="125" spans="1:21" ht="13.8" thickBot="1">
      <c r="A125" s="1087"/>
      <c r="B125" s="1087"/>
      <c r="C125" s="1087"/>
      <c r="D125" s="1087"/>
      <c r="E125" s="1087"/>
      <c r="F125" s="617"/>
      <c r="G125" s="618"/>
      <c r="H125" s="618"/>
      <c r="I125" s="619"/>
      <c r="K125" s="583"/>
      <c r="L125" s="620"/>
      <c r="M125" s="1089"/>
      <c r="U125" s="620"/>
    </row>
    <row r="126" spans="1:21" ht="13.8" thickBot="1">
      <c r="A126" s="1086" t="s">
        <v>1843</v>
      </c>
      <c r="B126" s="1086"/>
      <c r="C126" s="1086"/>
      <c r="D126" s="1086"/>
      <c r="E126" s="1086"/>
      <c r="F126" s="579">
        <v>2</v>
      </c>
      <c r="G126" s="618"/>
      <c r="H126" s="618"/>
      <c r="I126" s="543">
        <f>-IF(F126=1,$F$6*-47.66,0)</f>
        <v>0</v>
      </c>
      <c r="K126" s="581" t="e">
        <f>I126/I65</f>
        <v>#DIV/0!</v>
      </c>
      <c r="M126" s="1092" t="s">
        <v>1844</v>
      </c>
      <c r="N126" s="502" t="s">
        <v>1845</v>
      </c>
      <c r="U126" s="621">
        <v>0</v>
      </c>
    </row>
    <row r="127" spans="1:21">
      <c r="A127" s="1087"/>
      <c r="B127" s="1087"/>
      <c r="C127" s="1087"/>
      <c r="D127" s="1087"/>
      <c r="E127" s="1087"/>
      <c r="F127" s="1090" t="s">
        <v>1841</v>
      </c>
      <c r="G127" s="1091"/>
      <c r="H127" s="618"/>
      <c r="I127" s="502" t="s">
        <v>1842</v>
      </c>
      <c r="K127" s="620"/>
      <c r="M127" s="1092"/>
      <c r="U127" s="621"/>
    </row>
    <row r="128" spans="1:21">
      <c r="A128" s="1087"/>
      <c r="B128" s="1087"/>
      <c r="C128" s="1087"/>
      <c r="D128" s="1087"/>
      <c r="E128" s="1087"/>
      <c r="F128" s="617"/>
      <c r="G128" s="618"/>
      <c r="H128" s="618"/>
      <c r="I128" s="619"/>
      <c r="K128" s="620"/>
      <c r="M128" s="1092"/>
      <c r="U128" s="621"/>
    </row>
    <row r="129" spans="1:21">
      <c r="A129" s="1087"/>
      <c r="B129" s="1087"/>
      <c r="C129" s="1087"/>
      <c r="D129" s="1087"/>
      <c r="E129" s="1087"/>
      <c r="F129" s="617"/>
      <c r="G129" s="618"/>
      <c r="H129" s="618"/>
      <c r="I129" s="619"/>
      <c r="K129" s="620"/>
      <c r="U129" s="621"/>
    </row>
    <row r="130" spans="1:21">
      <c r="A130" s="1087"/>
      <c r="B130" s="1087"/>
      <c r="C130" s="1087"/>
      <c r="D130" s="1087"/>
      <c r="E130" s="1087"/>
      <c r="F130" s="623"/>
      <c r="G130" s="624"/>
      <c r="H130" s="624"/>
      <c r="I130" s="619"/>
      <c r="K130" s="583"/>
      <c r="L130" s="620"/>
      <c r="M130" s="620"/>
    </row>
    <row r="131" spans="1:21" ht="39" customHeight="1">
      <c r="A131" s="522"/>
      <c r="B131" s="522"/>
      <c r="C131" s="522"/>
      <c r="D131" s="522"/>
      <c r="E131" s="522"/>
      <c r="G131" s="512"/>
      <c r="H131" s="512"/>
      <c r="I131" s="619"/>
      <c r="J131" s="509"/>
      <c r="K131" s="625"/>
    </row>
    <row r="133" spans="1:21">
      <c r="A133" s="546"/>
      <c r="B133" s="546"/>
      <c r="C133" s="546"/>
      <c r="D133" s="546"/>
      <c r="E133" s="546"/>
      <c r="F133" s="546"/>
      <c r="G133" s="546"/>
      <c r="H133" s="546"/>
      <c r="I133" s="615"/>
      <c r="J133" s="546"/>
      <c r="K133" s="546"/>
      <c r="L133" s="546"/>
      <c r="M133" s="546"/>
      <c r="N133" s="546"/>
      <c r="O133" s="546"/>
      <c r="P133" s="546"/>
      <c r="Q133" s="546"/>
    </row>
    <row r="134" spans="1:21">
      <c r="I134" s="545"/>
    </row>
    <row r="136" spans="1:21" ht="13.8" thickBot="1"/>
    <row r="137" spans="1:21" ht="36.75" customHeight="1" thickBot="1">
      <c r="A137" s="1084" t="s">
        <v>1846</v>
      </c>
      <c r="B137" s="1084"/>
      <c r="C137" s="1084"/>
      <c r="D137" s="1084"/>
      <c r="E137" s="1084"/>
      <c r="F137" s="520" t="e">
        <f>SUM(I77,I82,I93,I97,I107,I89,I112,I102,I118,I126)</f>
        <v>#DIV/0!</v>
      </c>
      <c r="G137" s="502" t="s">
        <v>1847</v>
      </c>
      <c r="I137" s="626" t="s">
        <v>1848</v>
      </c>
      <c r="J137" s="581" t="e">
        <f>F137/I65</f>
        <v>#DIV/0!</v>
      </c>
      <c r="K137" s="596" t="s">
        <v>1849</v>
      </c>
    </row>
    <row r="138" spans="1:21" ht="17.25" customHeight="1" thickBot="1">
      <c r="A138" s="1085" t="s">
        <v>1850</v>
      </c>
      <c r="B138" s="1085"/>
      <c r="C138" s="1085"/>
      <c r="D138" s="1085"/>
      <c r="E138" s="1085"/>
      <c r="F138" s="520" t="e">
        <f>I65-F137</f>
        <v>#DIV/0!</v>
      </c>
      <c r="G138" s="502" t="s">
        <v>1847</v>
      </c>
    </row>
  </sheetData>
  <mergeCells count="61">
    <mergeCell ref="A12:D12"/>
    <mergeCell ref="J12:L12"/>
    <mergeCell ref="I4:K4"/>
    <mergeCell ref="A5:D5"/>
    <mergeCell ref="A6:D6"/>
    <mergeCell ref="A7:D7"/>
    <mergeCell ref="A11:D11"/>
    <mergeCell ref="F13:G14"/>
    <mergeCell ref="A16:D16"/>
    <mergeCell ref="M16:M18"/>
    <mergeCell ref="F17:G19"/>
    <mergeCell ref="A23:D23"/>
    <mergeCell ref="M23:M25"/>
    <mergeCell ref="F24:G25"/>
    <mergeCell ref="I24:K25"/>
    <mergeCell ref="A49:E49"/>
    <mergeCell ref="F27:K29"/>
    <mergeCell ref="A32:D32"/>
    <mergeCell ref="M32:M34"/>
    <mergeCell ref="F33:G34"/>
    <mergeCell ref="I33:K34"/>
    <mergeCell ref="F36:G37"/>
    <mergeCell ref="A40:D40"/>
    <mergeCell ref="M40:M42"/>
    <mergeCell ref="F41:G42"/>
    <mergeCell ref="I41:K42"/>
    <mergeCell ref="F44:G45"/>
    <mergeCell ref="A82:D83"/>
    <mergeCell ref="M82:M85"/>
    <mergeCell ref="A50:E50"/>
    <mergeCell ref="I50:K50"/>
    <mergeCell ref="A51:D51"/>
    <mergeCell ref="A53:D53"/>
    <mergeCell ref="A55:D55"/>
    <mergeCell ref="A57:D57"/>
    <mergeCell ref="M60:M63"/>
    <mergeCell ref="M65:M67"/>
    <mergeCell ref="I66:K66"/>
    <mergeCell ref="A77:E78"/>
    <mergeCell ref="M77:M80"/>
    <mergeCell ref="A117:E117"/>
    <mergeCell ref="M89:M91"/>
    <mergeCell ref="A93:D94"/>
    <mergeCell ref="M93:M95"/>
    <mergeCell ref="F94:G94"/>
    <mergeCell ref="F95:K95"/>
    <mergeCell ref="A97:E99"/>
    <mergeCell ref="M97:M100"/>
    <mergeCell ref="A102:E104"/>
    <mergeCell ref="M102:M103"/>
    <mergeCell ref="M107:M109"/>
    <mergeCell ref="A112:E114"/>
    <mergeCell ref="M112:M114"/>
    <mergeCell ref="A137:E137"/>
    <mergeCell ref="A138:E138"/>
    <mergeCell ref="A118:E125"/>
    <mergeCell ref="M118:M125"/>
    <mergeCell ref="F119:G119"/>
    <mergeCell ref="A126:E130"/>
    <mergeCell ref="M126:M128"/>
    <mergeCell ref="F127:G127"/>
  </mergeCells>
  <hyperlinks>
    <hyperlink ref="A1" location="'About og Fane-Link'!A1" display="Til Forsiden" xr:uid="{00000000-0004-0000-2000-000000000000}"/>
  </hyperlink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V54"/>
  <sheetViews>
    <sheetView workbookViewId="0">
      <selection activeCell="G1" sqref="G1"/>
    </sheetView>
  </sheetViews>
  <sheetFormatPr defaultColWidth="11.109375" defaultRowHeight="13.2"/>
  <cols>
    <col min="1" max="256" width="11.109375" style="910"/>
  </cols>
  <sheetData>
    <row r="1" spans="1:12" ht="17.399999999999999">
      <c r="A1" s="909" t="s">
        <v>2586</v>
      </c>
      <c r="E1" s="910" t="s">
        <v>2587</v>
      </c>
      <c r="G1" s="44" t="s">
        <v>2527</v>
      </c>
    </row>
    <row r="2" spans="1:12" ht="17.399999999999999">
      <c r="A2" s="909"/>
      <c r="B2" s="911" t="s">
        <v>2588</v>
      </c>
      <c r="C2" s="911"/>
      <c r="D2" s="909"/>
      <c r="E2" s="911" t="s">
        <v>2589</v>
      </c>
      <c r="F2" s="911"/>
    </row>
    <row r="3" spans="1:12">
      <c r="A3" s="912" t="s">
        <v>2590</v>
      </c>
      <c r="B3" s="912" t="s">
        <v>2591</v>
      </c>
      <c r="C3" s="912" t="s">
        <v>2592</v>
      </c>
      <c r="D3" s="912" t="s">
        <v>2593</v>
      </c>
      <c r="E3" s="912" t="s">
        <v>2593</v>
      </c>
      <c r="F3" s="912" t="s">
        <v>2591</v>
      </c>
      <c r="G3" s="913"/>
      <c r="H3" s="910" t="s">
        <v>2594</v>
      </c>
    </row>
    <row r="4" spans="1:12" ht="15">
      <c r="A4" s="912" t="s">
        <v>2595</v>
      </c>
      <c r="B4" s="914">
        <v>4</v>
      </c>
      <c r="C4" s="914">
        <v>4.5</v>
      </c>
      <c r="D4" s="914">
        <v>2.5</v>
      </c>
      <c r="E4" s="914">
        <v>0.3</v>
      </c>
      <c r="F4" s="914">
        <v>0.2</v>
      </c>
      <c r="G4" s="913"/>
      <c r="I4" s="910" t="s">
        <v>2596</v>
      </c>
      <c r="J4" s="910" t="s">
        <v>2597</v>
      </c>
    </row>
    <row r="5" spans="1:12" ht="15">
      <c r="A5" s="912" t="s">
        <v>2598</v>
      </c>
      <c r="B5" s="914">
        <v>14</v>
      </c>
      <c r="C5" s="914">
        <v>11</v>
      </c>
      <c r="D5" s="914">
        <v>0.7</v>
      </c>
      <c r="E5" s="914">
        <v>0.2</v>
      </c>
      <c r="F5" s="914">
        <v>2</v>
      </c>
      <c r="G5" s="913"/>
      <c r="I5" s="910" t="s">
        <v>2598</v>
      </c>
      <c r="J5" s="910" t="s">
        <v>2599</v>
      </c>
    </row>
    <row r="6" spans="1:12" ht="15">
      <c r="A6" s="912" t="s">
        <v>2600</v>
      </c>
      <c r="B6" s="914">
        <v>10</v>
      </c>
      <c r="C6" s="914">
        <v>5</v>
      </c>
      <c r="D6" s="914">
        <v>2</v>
      </c>
      <c r="E6" s="914">
        <v>0.3</v>
      </c>
      <c r="F6" s="914">
        <v>0.1</v>
      </c>
      <c r="G6" s="913"/>
    </row>
    <row r="7" spans="1:12" ht="15">
      <c r="A7" s="912" t="s">
        <v>2601</v>
      </c>
      <c r="B7" s="914">
        <v>1</v>
      </c>
      <c r="C7" s="914">
        <v>0.5</v>
      </c>
      <c r="D7" s="914">
        <v>0.2</v>
      </c>
      <c r="E7" s="914">
        <v>0.2</v>
      </c>
      <c r="F7" s="914">
        <v>0.2</v>
      </c>
      <c r="G7" s="913"/>
    </row>
    <row r="8" spans="1:12">
      <c r="A8" s="915"/>
      <c r="B8" s="915"/>
      <c r="C8" s="915"/>
      <c r="D8" s="915"/>
      <c r="E8" s="915"/>
      <c r="F8" s="915"/>
    </row>
    <row r="10" spans="1:12" ht="17.399999999999999">
      <c r="A10" s="909" t="s">
        <v>2602</v>
      </c>
      <c r="C10" s="910" t="s">
        <v>2587</v>
      </c>
      <c r="H10" s="909" t="s">
        <v>2603</v>
      </c>
      <c r="K10" s="910" t="s">
        <v>2604</v>
      </c>
    </row>
    <row r="11" spans="1:12">
      <c r="A11" s="912" t="s">
        <v>2590</v>
      </c>
      <c r="B11" s="916" t="s">
        <v>167</v>
      </c>
      <c r="C11" s="916" t="s">
        <v>2605</v>
      </c>
      <c r="D11" s="916" t="s">
        <v>2606</v>
      </c>
      <c r="E11" s="916" t="s">
        <v>2607</v>
      </c>
      <c r="F11" s="913"/>
      <c r="H11" s="912" t="s">
        <v>2608</v>
      </c>
      <c r="I11" s="917" t="s">
        <v>2609</v>
      </c>
      <c r="J11" s="916" t="s">
        <v>2610</v>
      </c>
      <c r="K11" s="916" t="s">
        <v>2605</v>
      </c>
      <c r="L11" s="918"/>
    </row>
    <row r="12" spans="1:12">
      <c r="A12" s="912" t="s">
        <v>2595</v>
      </c>
      <c r="B12" s="919">
        <f>30.2/24</f>
        <v>1.2583333333333333</v>
      </c>
      <c r="C12" s="919">
        <f>23/24</f>
        <v>0.95833333333333337</v>
      </c>
      <c r="D12" s="919">
        <f>35.8/24</f>
        <v>1.4916666666666665</v>
      </c>
      <c r="E12" s="919">
        <f>0.7/24</f>
        <v>2.9166666666666664E-2</v>
      </c>
      <c r="F12" s="913"/>
      <c r="H12" s="912" t="s">
        <v>2595</v>
      </c>
      <c r="I12" s="919">
        <v>2</v>
      </c>
      <c r="J12" s="919">
        <v>1.1000000000000001</v>
      </c>
      <c r="K12" s="919" t="s">
        <v>2611</v>
      </c>
      <c r="L12" s="920"/>
    </row>
    <row r="13" spans="1:12">
      <c r="A13" s="912" t="s">
        <v>2598</v>
      </c>
      <c r="B13" s="919">
        <f>4.4/24</f>
        <v>0.18333333333333335</v>
      </c>
      <c r="C13" s="919">
        <f>3.5/24</f>
        <v>0.14583333333333334</v>
      </c>
      <c r="D13" s="919">
        <f>5.1/24</f>
        <v>0.21249999999999999</v>
      </c>
      <c r="E13" s="919">
        <f>0.05/24</f>
        <v>2.0833333333333333E-3</v>
      </c>
      <c r="F13" s="913"/>
      <c r="H13" s="912" t="s">
        <v>2598</v>
      </c>
      <c r="I13" s="919">
        <v>15</v>
      </c>
      <c r="J13" s="919" t="s">
        <v>85</v>
      </c>
      <c r="K13" s="919" t="s">
        <v>85</v>
      </c>
      <c r="L13" s="920"/>
    </row>
    <row r="14" spans="1:12">
      <c r="A14" s="912" t="s">
        <v>2600</v>
      </c>
      <c r="B14" s="919">
        <f>0.9/24</f>
        <v>3.7499999999999999E-2</v>
      </c>
      <c r="C14" s="919">
        <f>0.8/24</f>
        <v>3.3333333333333333E-2</v>
      </c>
      <c r="D14" s="919">
        <f>1.1/24</f>
        <v>4.5833333333333337E-2</v>
      </c>
      <c r="E14" s="919">
        <f>0.2/24</f>
        <v>8.3333333333333332E-3</v>
      </c>
      <c r="F14" s="913"/>
      <c r="H14" s="912" t="s">
        <v>312</v>
      </c>
      <c r="I14" s="919">
        <v>990</v>
      </c>
      <c r="J14" s="919">
        <v>580</v>
      </c>
      <c r="K14" s="919">
        <v>580</v>
      </c>
      <c r="L14" s="920"/>
    </row>
    <row r="15" spans="1:12">
      <c r="A15" s="912" t="s">
        <v>2601</v>
      </c>
      <c r="B15" s="919">
        <f>2.3/24</f>
        <v>9.5833333333333326E-2</v>
      </c>
      <c r="C15" s="919">
        <f>2.1/24</f>
        <v>8.7500000000000008E-2</v>
      </c>
      <c r="D15" s="919">
        <f>2.9/24</f>
        <v>0.12083333333333333</v>
      </c>
      <c r="E15" s="919">
        <f>0.2/24</f>
        <v>8.3333333333333332E-3</v>
      </c>
      <c r="F15" s="913"/>
      <c r="H15" s="912" t="s">
        <v>506</v>
      </c>
      <c r="I15" s="919" t="s">
        <v>2612</v>
      </c>
      <c r="J15" s="919" t="s">
        <v>2613</v>
      </c>
      <c r="K15" s="919" t="s">
        <v>2613</v>
      </c>
      <c r="L15" s="920"/>
    </row>
    <row r="16" spans="1:12">
      <c r="A16" s="912" t="s">
        <v>506</v>
      </c>
      <c r="B16" s="919">
        <f>2.3/24</f>
        <v>9.5833333333333326E-2</v>
      </c>
      <c r="C16" s="919">
        <f>2.1/24</f>
        <v>8.7500000000000008E-2</v>
      </c>
      <c r="D16" s="919">
        <f>2.9/24</f>
        <v>0.12083333333333333</v>
      </c>
      <c r="E16" s="919">
        <f>0.2/24</f>
        <v>8.3333333333333332E-3</v>
      </c>
      <c r="F16" s="913"/>
      <c r="H16" s="915"/>
      <c r="I16" s="915"/>
      <c r="J16" s="915"/>
      <c r="K16" s="915"/>
    </row>
    <row r="17" spans="1:13">
      <c r="A17" s="915"/>
      <c r="B17" s="915"/>
      <c r="C17" s="915"/>
      <c r="D17" s="915"/>
      <c r="E17" s="915"/>
    </row>
    <row r="19" spans="1:13" ht="17.399999999999999">
      <c r="A19" s="909" t="s">
        <v>2602</v>
      </c>
      <c r="B19" s="909"/>
      <c r="C19" s="921" t="s">
        <v>2614</v>
      </c>
      <c r="H19" s="909" t="s">
        <v>2603</v>
      </c>
      <c r="K19" s="910" t="s">
        <v>2615</v>
      </c>
    </row>
    <row r="20" spans="1:13" ht="15">
      <c r="A20" s="912" t="s">
        <v>2608</v>
      </c>
      <c r="B20" s="916" t="s">
        <v>2616</v>
      </c>
      <c r="C20" s="916" t="s">
        <v>2617</v>
      </c>
      <c r="D20" s="916" t="s">
        <v>2618</v>
      </c>
      <c r="E20" s="913"/>
      <c r="H20" s="912" t="s">
        <v>2590</v>
      </c>
      <c r="I20" s="916" t="s">
        <v>2609</v>
      </c>
      <c r="J20" s="916" t="s">
        <v>2606</v>
      </c>
      <c r="K20" s="916" t="s">
        <v>2605</v>
      </c>
      <c r="L20" s="916" t="s">
        <v>2619</v>
      </c>
      <c r="M20" s="922"/>
    </row>
    <row r="21" spans="1:13" ht="15">
      <c r="A21" s="912" t="s">
        <v>2595</v>
      </c>
      <c r="B21" s="923">
        <v>1.02</v>
      </c>
      <c r="C21" s="923">
        <v>7.8E-2</v>
      </c>
      <c r="D21" s="923">
        <v>0.06</v>
      </c>
      <c r="E21" s="913"/>
      <c r="H21" s="912" t="s">
        <v>2595</v>
      </c>
      <c r="I21" s="919">
        <v>5.5</v>
      </c>
      <c r="J21" s="919">
        <v>2.7</v>
      </c>
      <c r="K21" s="919" t="s">
        <v>2620</v>
      </c>
      <c r="L21" s="919" t="s">
        <v>2621</v>
      </c>
      <c r="M21" s="922"/>
    </row>
    <row r="22" spans="1:13" ht="15">
      <c r="A22" s="912" t="s">
        <v>2598</v>
      </c>
      <c r="B22" s="923">
        <v>0.33</v>
      </c>
      <c r="C22" s="923">
        <v>1.6E-2</v>
      </c>
      <c r="D22" s="923">
        <v>1.2999999999999999E-2</v>
      </c>
      <c r="E22" s="913"/>
      <c r="H22" s="912" t="s">
        <v>2622</v>
      </c>
      <c r="I22" s="919">
        <v>8.0000000000000002E-3</v>
      </c>
      <c r="J22" s="919">
        <v>0.3</v>
      </c>
      <c r="K22" s="919" t="s">
        <v>2623</v>
      </c>
      <c r="L22" s="919">
        <v>5.0000000000000001E-3</v>
      </c>
      <c r="M22" s="922"/>
    </row>
    <row r="23" spans="1:13" ht="15">
      <c r="A23" s="912" t="s">
        <v>2600</v>
      </c>
      <c r="B23" s="923">
        <v>0.19</v>
      </c>
      <c r="C23" s="923">
        <v>0.16</v>
      </c>
      <c r="D23" s="923">
        <v>0.15</v>
      </c>
      <c r="E23" s="913"/>
      <c r="H23" s="912" t="s">
        <v>506</v>
      </c>
      <c r="I23" s="919">
        <v>0.15</v>
      </c>
      <c r="J23" s="919">
        <v>0.7</v>
      </c>
      <c r="K23" s="919" t="s">
        <v>2624</v>
      </c>
      <c r="L23" s="919" t="s">
        <v>2625</v>
      </c>
      <c r="M23" s="922"/>
    </row>
    <row r="24" spans="1:13">
      <c r="A24" s="912" t="s">
        <v>2601</v>
      </c>
      <c r="B24" s="923">
        <v>0.01</v>
      </c>
      <c r="C24" s="923">
        <v>9.2999999999999992E-3</v>
      </c>
      <c r="D24" s="923">
        <v>0</v>
      </c>
      <c r="E24" s="913"/>
      <c r="H24" s="915"/>
      <c r="I24" s="915"/>
      <c r="J24" s="915"/>
      <c r="K24" s="915"/>
      <c r="L24" s="915"/>
    </row>
    <row r="25" spans="1:13">
      <c r="A25" s="912" t="s">
        <v>506</v>
      </c>
      <c r="B25" s="923">
        <v>0.43</v>
      </c>
      <c r="C25" s="923">
        <v>3.7999999999999999E-2</v>
      </c>
      <c r="D25" s="923">
        <v>1.2E-2</v>
      </c>
      <c r="E25" s="913"/>
    </row>
    <row r="26" spans="1:13">
      <c r="A26" s="912" t="s">
        <v>312</v>
      </c>
      <c r="B26" s="923">
        <v>794</v>
      </c>
      <c r="C26" s="923">
        <v>623</v>
      </c>
      <c r="D26" s="923">
        <v>623</v>
      </c>
      <c r="E26" s="913"/>
    </row>
    <row r="27" spans="1:13">
      <c r="A27" s="912" t="s">
        <v>1166</v>
      </c>
      <c r="B27" s="923">
        <v>0.56999999999999995</v>
      </c>
      <c r="C27" s="923">
        <v>0.43</v>
      </c>
      <c r="D27" s="923">
        <v>0.43</v>
      </c>
      <c r="E27" s="913"/>
    </row>
    <row r="28" spans="1:13">
      <c r="A28" s="915"/>
      <c r="B28" s="915"/>
      <c r="C28" s="915"/>
      <c r="D28" s="915"/>
    </row>
    <row r="30" spans="1:13" ht="17.399999999999999">
      <c r="A30" s="924" t="s">
        <v>2626</v>
      </c>
      <c r="B30" s="925"/>
      <c r="C30" s="924"/>
      <c r="D30" s="924"/>
      <c r="E30" s="913"/>
    </row>
    <row r="31" spans="1:13" ht="17.399999999999999">
      <c r="A31" s="926" t="s">
        <v>2627</v>
      </c>
      <c r="D31" s="910" t="s">
        <v>2628</v>
      </c>
      <c r="E31" s="913"/>
    </row>
    <row r="32" spans="1:13">
      <c r="A32" s="927"/>
      <c r="B32" s="912" t="s">
        <v>2606</v>
      </c>
      <c r="C32" s="912" t="s">
        <v>2629</v>
      </c>
      <c r="D32" s="912" t="s">
        <v>2607</v>
      </c>
      <c r="E32" s="913"/>
    </row>
    <row r="33" spans="1:5">
      <c r="A33" s="912" t="s">
        <v>2595</v>
      </c>
      <c r="B33" s="923">
        <v>0.69399999999999995</v>
      </c>
      <c r="C33" s="923">
        <v>0.41699999999999998</v>
      </c>
      <c r="D33" s="923">
        <v>4.0000000000000001E-3</v>
      </c>
      <c r="E33" s="913"/>
    </row>
    <row r="34" spans="1:5">
      <c r="A34" s="912" t="s">
        <v>2598</v>
      </c>
      <c r="B34" s="923">
        <v>7.6999999999999999E-2</v>
      </c>
      <c r="C34" s="923">
        <v>5.3999999999999999E-2</v>
      </c>
      <c r="D34" s="923">
        <v>0</v>
      </c>
      <c r="E34" s="913"/>
    </row>
    <row r="35" spans="1:5">
      <c r="A35" s="912" t="s">
        <v>312</v>
      </c>
      <c r="B35" s="923">
        <v>889.04100000000005</v>
      </c>
      <c r="C35" s="923">
        <v>621.42100000000005</v>
      </c>
      <c r="D35" s="923">
        <v>435.44900000000001</v>
      </c>
      <c r="E35" s="913"/>
    </row>
    <row r="36" spans="1:5">
      <c r="A36" s="915"/>
      <c r="B36" s="915"/>
      <c r="C36" s="915"/>
      <c r="D36" s="915"/>
    </row>
    <row r="38" spans="1:5">
      <c r="A38" s="910" t="s">
        <v>2630</v>
      </c>
    </row>
    <row r="39" spans="1:5">
      <c r="A39" s="910" t="s">
        <v>2631</v>
      </c>
    </row>
    <row r="40" spans="1:5">
      <c r="A40" s="910" t="s">
        <v>2632</v>
      </c>
    </row>
    <row r="41" spans="1:5">
      <c r="A41" s="921" t="s">
        <v>2633</v>
      </c>
    </row>
    <row r="42" spans="1:5">
      <c r="A42" s="921" t="s">
        <v>2634</v>
      </c>
    </row>
    <row r="45" spans="1:5" ht="17.399999999999999">
      <c r="A45" s="909" t="s">
        <v>2635</v>
      </c>
    </row>
    <row r="47" spans="1:5">
      <c r="A47" s="910" t="s">
        <v>2636</v>
      </c>
    </row>
    <row r="48" spans="1:5">
      <c r="A48" s="910" t="s">
        <v>2637</v>
      </c>
    </row>
    <row r="49" spans="1:1">
      <c r="A49" s="921" t="s">
        <v>2638</v>
      </c>
    </row>
    <row r="51" spans="1:1">
      <c r="A51" s="910" t="s">
        <v>2639</v>
      </c>
    </row>
    <row r="52" spans="1:1">
      <c r="A52" s="910" t="s">
        <v>2640</v>
      </c>
    </row>
    <row r="54" spans="1:1">
      <c r="A54" s="921" t="s">
        <v>2641</v>
      </c>
    </row>
  </sheetData>
  <hyperlinks>
    <hyperlink ref="G1" location="'About og Fane-Link'!A1" display="Til Forsiden" xr:uid="{00000000-0004-0000-21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95BB-E0A4-4377-B147-D47D77CA4A02}">
  <dimension ref="A1:H132"/>
  <sheetViews>
    <sheetView tabSelected="1" workbookViewId="0"/>
  </sheetViews>
  <sheetFormatPr defaultRowHeight="13.2"/>
  <cols>
    <col min="1" max="1" width="4.109375" customWidth="1"/>
    <col min="2" max="2" width="2.5546875" customWidth="1"/>
    <col min="3" max="3" width="12.5546875" customWidth="1"/>
    <col min="4" max="4" width="46.109375" customWidth="1"/>
    <col min="5" max="5" width="17" customWidth="1"/>
    <col min="6" max="6" width="12.6640625" customWidth="1"/>
    <col min="7" max="7" width="11.6640625" customWidth="1"/>
    <col min="8" max="8" width="12" customWidth="1"/>
    <col min="9" max="9" width="12.5546875" customWidth="1"/>
    <col min="10" max="10" width="15.5546875" customWidth="1"/>
  </cols>
  <sheetData>
    <row r="1" spans="1:8" ht="3" customHeight="1"/>
    <row r="2" spans="1:8" ht="3" customHeight="1"/>
    <row r="3" spans="1:8" ht="15.6">
      <c r="D3" s="123" t="s">
        <v>868</v>
      </c>
    </row>
    <row r="4" spans="1:8" ht="93" customHeight="1">
      <c r="C4" s="1131" t="s">
        <v>6</v>
      </c>
      <c r="D4" s="124" t="s">
        <v>869</v>
      </c>
      <c r="E4" s="1131" t="s">
        <v>870</v>
      </c>
      <c r="F4" s="1131" t="s">
        <v>871</v>
      </c>
      <c r="G4" s="1131" t="s">
        <v>872</v>
      </c>
      <c r="H4" s="1131" t="s">
        <v>873</v>
      </c>
    </row>
    <row r="5" spans="1:8" ht="14.25" customHeight="1">
      <c r="A5" s="1132" t="s">
        <v>2644</v>
      </c>
      <c r="C5" s="1133"/>
      <c r="E5" s="1133"/>
      <c r="F5" s="1133"/>
      <c r="G5" s="1133"/>
      <c r="H5" s="1133"/>
    </row>
    <row r="6" spans="1:8">
      <c r="C6" s="1134" t="s">
        <v>519</v>
      </c>
      <c r="D6" s="1134" t="s">
        <v>875</v>
      </c>
      <c r="E6" s="1135">
        <v>9.5000000000000001E-2</v>
      </c>
      <c r="F6" s="1135">
        <v>4.0000000000000003E-5</v>
      </c>
      <c r="G6" s="1135">
        <v>4.0000000000000001E-3</v>
      </c>
      <c r="H6" s="1135">
        <v>0.04</v>
      </c>
    </row>
    <row r="7" spans="1:8">
      <c r="C7" s="1134" t="s">
        <v>519</v>
      </c>
      <c r="D7" s="1134" t="s">
        <v>876</v>
      </c>
      <c r="E7" s="1135">
        <v>0.127</v>
      </c>
      <c r="F7" s="1135">
        <v>4.0000000000000003E-5</v>
      </c>
      <c r="G7" s="1135">
        <v>4.0000000000000001E-3</v>
      </c>
      <c r="H7" s="1135">
        <v>4.8000000000000001E-2</v>
      </c>
    </row>
    <row r="8" spans="1:8">
      <c r="C8" s="1134" t="s">
        <v>519</v>
      </c>
      <c r="D8" s="1134" t="s">
        <v>877</v>
      </c>
      <c r="E8" s="1135">
        <v>0.14000000000000001</v>
      </c>
      <c r="F8" s="1135">
        <v>4.0000000000000003E-5</v>
      </c>
      <c r="G8" s="1135">
        <v>4.0000000000000001E-3</v>
      </c>
      <c r="H8" s="1135">
        <v>0.03</v>
      </c>
    </row>
    <row r="9" spans="1:8">
      <c r="C9" s="1134" t="s">
        <v>519</v>
      </c>
      <c r="D9" s="1134" t="s">
        <v>878</v>
      </c>
      <c r="E9" s="1135">
        <v>0.115</v>
      </c>
      <c r="F9" s="1135">
        <v>4.0000000000000003E-5</v>
      </c>
      <c r="G9" s="1135">
        <v>4.0000000000000001E-3</v>
      </c>
      <c r="H9" s="1135">
        <v>0.03</v>
      </c>
    </row>
    <row r="10" spans="1:8">
      <c r="C10" s="1134" t="s">
        <v>519</v>
      </c>
      <c r="D10" s="1134" t="s">
        <v>879</v>
      </c>
      <c r="E10" s="1135">
        <v>7.4999999999999997E-2</v>
      </c>
      <c r="F10" s="1135">
        <v>4.0000000000000003E-5</v>
      </c>
      <c r="G10" s="1135">
        <v>4.0000000000000001E-3</v>
      </c>
      <c r="H10" s="1135">
        <v>0.04</v>
      </c>
    </row>
    <row r="11" spans="1:8">
      <c r="C11" s="1134" t="s">
        <v>519</v>
      </c>
      <c r="D11" s="1134" t="s">
        <v>880</v>
      </c>
      <c r="E11" s="1135">
        <v>0.08</v>
      </c>
      <c r="F11" s="1135">
        <v>4.0000000000000003E-5</v>
      </c>
      <c r="G11" s="1135">
        <v>4.0000000000000001E-3</v>
      </c>
      <c r="H11" s="1135">
        <v>0.03</v>
      </c>
    </row>
    <row r="12" spans="1:8">
      <c r="C12" s="1134" t="s">
        <v>519</v>
      </c>
      <c r="D12" s="1134" t="s">
        <v>881</v>
      </c>
      <c r="E12" s="1135">
        <v>0.11</v>
      </c>
      <c r="F12" s="1135">
        <v>4.0000000000000003E-5</v>
      </c>
      <c r="G12" s="1135">
        <v>4.0000000000000001E-3</v>
      </c>
      <c r="H12" s="1135">
        <v>0.04</v>
      </c>
    </row>
    <row r="13" spans="1:8">
      <c r="C13" s="1134" t="s">
        <v>519</v>
      </c>
      <c r="D13" s="1134" t="s">
        <v>882</v>
      </c>
      <c r="E13" s="1135">
        <v>8.1000000000000003E-2</v>
      </c>
      <c r="F13" s="1135">
        <v>4.0000000000000003E-5</v>
      </c>
      <c r="G13" s="1135">
        <v>4.0000000000000001E-3</v>
      </c>
      <c r="H13" s="1135">
        <v>4.5999999999999999E-2</v>
      </c>
    </row>
    <row r="14" spans="1:8">
      <c r="C14" s="1134" t="s">
        <v>519</v>
      </c>
      <c r="D14" s="1134" t="s">
        <v>883</v>
      </c>
      <c r="E14" s="1135">
        <v>8.4000000000000005E-2</v>
      </c>
      <c r="F14" s="1135">
        <v>4.0000000000000003E-5</v>
      </c>
      <c r="G14" s="1135">
        <v>4.0000000000000001E-3</v>
      </c>
      <c r="H14" s="1135">
        <v>4.4999999999999998E-2</v>
      </c>
    </row>
    <row r="15" spans="1:8">
      <c r="C15" s="1134" t="s">
        <v>519</v>
      </c>
      <c r="D15" s="1134" t="s">
        <v>884</v>
      </c>
      <c r="E15" s="1135">
        <v>0.08</v>
      </c>
      <c r="F15" s="1135">
        <v>4.0000000000000003E-5</v>
      </c>
      <c r="G15" s="1135">
        <v>4.0000000000000001E-3</v>
      </c>
      <c r="H15" s="1135">
        <v>0.04</v>
      </c>
    </row>
    <row r="16" spans="1:8">
      <c r="C16" s="1134" t="s">
        <v>519</v>
      </c>
      <c r="D16" s="1134" t="s">
        <v>885</v>
      </c>
      <c r="E16" s="1135">
        <v>0.09</v>
      </c>
      <c r="F16" s="1135">
        <v>4.0000000000000003E-5</v>
      </c>
      <c r="G16" s="1135">
        <v>4.0000000000000001E-3</v>
      </c>
      <c r="H16" s="1135">
        <v>0.04</v>
      </c>
    </row>
    <row r="17" spans="1:8">
      <c r="C17" s="1134" t="s">
        <v>519</v>
      </c>
      <c r="D17" s="1134" t="s">
        <v>886</v>
      </c>
      <c r="E17" s="1135">
        <v>0.11</v>
      </c>
      <c r="F17" s="1135">
        <v>3.0000000000000001E-5</v>
      </c>
      <c r="G17" s="1135">
        <v>4.0000000000000001E-3</v>
      </c>
      <c r="H17" s="1135">
        <v>0.03</v>
      </c>
    </row>
    <row r="18" spans="1:8">
      <c r="C18" s="1134" t="s">
        <v>519</v>
      </c>
      <c r="D18" s="1134" t="s">
        <v>887</v>
      </c>
      <c r="E18" s="1135">
        <v>6.5000000000000002E-2</v>
      </c>
      <c r="F18" s="1135">
        <v>2.0000000000000002E-5</v>
      </c>
      <c r="G18" s="1135">
        <v>4.0000000000000001E-3</v>
      </c>
      <c r="H18" s="1135">
        <v>0.02</v>
      </c>
    </row>
    <row r="19" spans="1:8">
      <c r="C19" s="1134" t="s">
        <v>519</v>
      </c>
      <c r="D19" s="1134" t="s">
        <v>888</v>
      </c>
      <c r="E19" s="1135">
        <v>0.09</v>
      </c>
      <c r="F19" s="1135">
        <v>4.0000000000000003E-5</v>
      </c>
      <c r="G19" s="1135">
        <v>4.0000000000000001E-3</v>
      </c>
      <c r="H19" s="1135">
        <v>0.04</v>
      </c>
    </row>
    <row r="20" spans="1:8">
      <c r="C20" s="1134" t="s">
        <v>519</v>
      </c>
      <c r="D20" s="1136" t="s">
        <v>889</v>
      </c>
      <c r="E20" s="151">
        <v>0.1</v>
      </c>
      <c r="F20" s="151">
        <v>4.0000000000000003E-5</v>
      </c>
      <c r="G20" s="1135">
        <v>4.0000000000000001E-3</v>
      </c>
      <c r="H20" s="151">
        <v>0.04</v>
      </c>
    </row>
    <row r="21" spans="1:8">
      <c r="C21" s="1134" t="s">
        <v>519</v>
      </c>
      <c r="D21" s="1134" t="s">
        <v>890</v>
      </c>
      <c r="E21" s="1135">
        <v>8.1000000000000003E-2</v>
      </c>
      <c r="F21" s="1135">
        <v>4.0000000000000003E-5</v>
      </c>
      <c r="G21" s="1135">
        <v>4.0000000000000001E-3</v>
      </c>
      <c r="H21" s="1135">
        <v>4.5999999999999999E-2</v>
      </c>
    </row>
    <row r="22" spans="1:8">
      <c r="C22" s="1134"/>
      <c r="D22" s="1134"/>
      <c r="E22" s="1135"/>
      <c r="F22" s="1135"/>
      <c r="H22" s="1135"/>
    </row>
    <row r="23" spans="1:8">
      <c r="A23" s="1132" t="s">
        <v>2645</v>
      </c>
      <c r="C23" s="1134"/>
      <c r="D23" s="1134"/>
      <c r="E23" s="1135"/>
      <c r="F23" s="1135"/>
      <c r="H23" s="1135"/>
    </row>
    <row r="24" spans="1:8">
      <c r="C24" s="1134" t="s">
        <v>519</v>
      </c>
      <c r="D24" s="1134" t="s">
        <v>10</v>
      </c>
      <c r="E24" s="1135">
        <v>0.17</v>
      </c>
      <c r="F24" s="1135">
        <v>1.5E-3</v>
      </c>
      <c r="G24" s="1135">
        <v>0.03</v>
      </c>
      <c r="H24" s="1135">
        <v>0</v>
      </c>
    </row>
    <row r="25" spans="1:8">
      <c r="C25" s="1134" t="s">
        <v>519</v>
      </c>
      <c r="D25" s="1134" t="s">
        <v>892</v>
      </c>
      <c r="E25" s="1135">
        <v>0.2</v>
      </c>
      <c r="F25" s="1135">
        <v>1.4E-2</v>
      </c>
      <c r="G25" s="1135">
        <v>0</v>
      </c>
      <c r="H25" s="1135">
        <v>0</v>
      </c>
    </row>
    <row r="26" spans="1:8">
      <c r="C26" s="1134" t="s">
        <v>519</v>
      </c>
      <c r="D26" s="1134" t="s">
        <v>21</v>
      </c>
      <c r="E26" s="1135">
        <v>66</v>
      </c>
      <c r="F26" s="1135">
        <v>90</v>
      </c>
      <c r="G26" s="1135">
        <v>0.05</v>
      </c>
      <c r="H26" s="1135">
        <v>0</v>
      </c>
    </row>
    <row r="27" spans="1:8">
      <c r="C27" s="1134" t="s">
        <v>519</v>
      </c>
      <c r="D27" s="1134" t="s">
        <v>40</v>
      </c>
      <c r="E27" s="1135">
        <v>0.01</v>
      </c>
      <c r="F27" s="1135">
        <v>0</v>
      </c>
      <c r="G27" s="1135">
        <v>7.0000000000000001E-3</v>
      </c>
      <c r="H27" s="1135">
        <v>0</v>
      </c>
    </row>
    <row r="28" spans="1:8">
      <c r="C28" s="1134" t="s">
        <v>519</v>
      </c>
      <c r="D28" s="1134" t="s">
        <v>12</v>
      </c>
      <c r="E28" s="1135">
        <v>0.09</v>
      </c>
      <c r="F28" s="1135">
        <v>1.7000000000000001E-2</v>
      </c>
      <c r="G28" s="1135">
        <v>0.05</v>
      </c>
      <c r="H28" s="1135">
        <v>0</v>
      </c>
    </row>
    <row r="29" spans="1:8">
      <c r="C29" s="1134" t="s">
        <v>519</v>
      </c>
      <c r="D29" s="1134" t="s">
        <v>45</v>
      </c>
      <c r="E29" s="1135">
        <v>0.16</v>
      </c>
      <c r="F29" s="1135">
        <v>0.03</v>
      </c>
      <c r="G29" s="1135">
        <v>0</v>
      </c>
      <c r="H29" s="1135">
        <v>0</v>
      </c>
    </row>
    <row r="30" spans="1:8">
      <c r="C30" s="1134" t="s">
        <v>519</v>
      </c>
      <c r="D30" s="1134" t="s">
        <v>47</v>
      </c>
      <c r="E30" s="1135">
        <v>0.08</v>
      </c>
      <c r="F30" s="1135">
        <v>2.3E-2</v>
      </c>
      <c r="G30" s="1135">
        <v>0.05</v>
      </c>
      <c r="H30" s="1135">
        <v>0</v>
      </c>
    </row>
    <row r="31" spans="1:8">
      <c r="C31" s="1134" t="s">
        <v>519</v>
      </c>
      <c r="D31" s="1134" t="s">
        <v>893</v>
      </c>
      <c r="E31" s="1135">
        <v>0.19</v>
      </c>
      <c r="F31" s="1135">
        <v>0.106</v>
      </c>
      <c r="G31" s="1135">
        <v>0.04</v>
      </c>
      <c r="H31" s="1135">
        <v>0</v>
      </c>
    </row>
    <row r="32" spans="1:8">
      <c r="C32" s="1134" t="s">
        <v>519</v>
      </c>
      <c r="D32" s="1134" t="s">
        <v>736</v>
      </c>
      <c r="E32" s="1135">
        <v>0.04</v>
      </c>
      <c r="F32" s="1135">
        <v>0</v>
      </c>
      <c r="G32" s="1135">
        <v>0</v>
      </c>
      <c r="H32" s="1135">
        <v>0.02</v>
      </c>
    </row>
    <row r="33" spans="1:8">
      <c r="C33" s="1134" t="s">
        <v>519</v>
      </c>
      <c r="D33" s="1134" t="s">
        <v>187</v>
      </c>
      <c r="E33" s="1135">
        <v>0.04</v>
      </c>
      <c r="F33" s="1135">
        <v>0</v>
      </c>
      <c r="G33" s="1135">
        <v>0</v>
      </c>
      <c r="H33" s="1135">
        <v>0.02</v>
      </c>
    </row>
    <row r="34" spans="1:8">
      <c r="C34" s="1134" t="s">
        <v>519</v>
      </c>
      <c r="D34" s="1134" t="s">
        <v>74</v>
      </c>
      <c r="E34" s="1135">
        <v>4.5999999999999999E-2</v>
      </c>
      <c r="F34" s="1135">
        <v>1.2E-2</v>
      </c>
      <c r="G34" s="1135">
        <v>0.04</v>
      </c>
      <c r="H34" s="1135">
        <v>0</v>
      </c>
    </row>
    <row r="35" spans="1:8">
      <c r="C35" s="1134" t="s">
        <v>519</v>
      </c>
      <c r="D35" s="1134" t="s">
        <v>894</v>
      </c>
      <c r="E35" s="1135">
        <v>0.22</v>
      </c>
      <c r="F35" s="1135">
        <v>0</v>
      </c>
      <c r="G35" s="1135">
        <v>0</v>
      </c>
      <c r="H35" s="1135">
        <v>0</v>
      </c>
    </row>
    <row r="36" spans="1:8">
      <c r="C36" s="1134" t="s">
        <v>519</v>
      </c>
      <c r="D36" s="1134" t="s">
        <v>76</v>
      </c>
      <c r="E36" s="1135">
        <v>0.03</v>
      </c>
      <c r="F36" s="1135">
        <v>1.2999999999999999E-4</v>
      </c>
      <c r="G36" s="1135">
        <v>0.02</v>
      </c>
      <c r="H36" s="1135">
        <v>0</v>
      </c>
    </row>
    <row r="37" spans="1:8">
      <c r="C37" s="1134" t="s">
        <v>519</v>
      </c>
      <c r="D37" s="1134" t="s">
        <v>424</v>
      </c>
      <c r="E37" s="1135">
        <v>0.04</v>
      </c>
      <c r="F37" s="1135">
        <v>1.2999999999999999E-4</v>
      </c>
      <c r="G37" s="1135">
        <v>0.02</v>
      </c>
      <c r="H37" s="1135">
        <v>0</v>
      </c>
    </row>
    <row r="38" spans="1:8">
      <c r="C38" s="1134" t="s">
        <v>519</v>
      </c>
      <c r="D38" s="1134" t="s">
        <v>20</v>
      </c>
      <c r="E38" s="1135">
        <v>1.7</v>
      </c>
      <c r="F38" s="1135">
        <v>19</v>
      </c>
      <c r="G38" s="1135">
        <v>0.05</v>
      </c>
      <c r="H38" s="1135">
        <v>0</v>
      </c>
    </row>
    <row r="39" spans="1:8">
      <c r="C39" s="1134" t="s">
        <v>519</v>
      </c>
      <c r="D39" s="1134" t="s">
        <v>78</v>
      </c>
      <c r="E39" s="1135">
        <v>0.04</v>
      </c>
      <c r="F39" s="1135">
        <v>0</v>
      </c>
      <c r="G39" s="1135">
        <v>0</v>
      </c>
      <c r="H39" s="1135">
        <v>0.02</v>
      </c>
    </row>
    <row r="40" spans="1:8">
      <c r="C40" s="1134" t="s">
        <v>519</v>
      </c>
      <c r="D40" s="1134" t="s">
        <v>895</v>
      </c>
      <c r="E40" s="1135">
        <v>7.0000000000000007E-2</v>
      </c>
      <c r="F40" s="1135">
        <v>3.3000000000000002E-2</v>
      </c>
      <c r="G40" s="1135">
        <v>0.04</v>
      </c>
      <c r="H40" s="1135">
        <v>0</v>
      </c>
    </row>
    <row r="41" spans="1:8">
      <c r="C41" s="1134"/>
      <c r="D41" s="1134"/>
      <c r="E41" s="1135"/>
      <c r="F41" s="1135"/>
      <c r="G41" s="1135"/>
      <c r="H41" s="1135"/>
    </row>
    <row r="42" spans="1:8">
      <c r="A42" s="1132" t="s">
        <v>896</v>
      </c>
      <c r="C42" s="1134"/>
      <c r="D42" s="1134"/>
      <c r="E42" s="1135"/>
      <c r="F42" s="1135"/>
      <c r="G42" s="1135"/>
      <c r="H42" s="1135"/>
    </row>
    <row r="43" spans="1:8">
      <c r="C43" s="1134" t="s">
        <v>897</v>
      </c>
      <c r="D43" s="1134" t="s">
        <v>898</v>
      </c>
      <c r="E43" s="1135">
        <v>0.15</v>
      </c>
      <c r="F43" s="1135">
        <v>0</v>
      </c>
      <c r="G43" s="1135">
        <v>0</v>
      </c>
      <c r="H43" s="1135">
        <v>0</v>
      </c>
    </row>
    <row r="44" spans="1:8">
      <c r="C44" s="1134" t="s">
        <v>897</v>
      </c>
      <c r="D44" s="1134" t="s">
        <v>899</v>
      </c>
      <c r="E44" s="1135">
        <v>1.6E-2</v>
      </c>
      <c r="F44" s="1135">
        <v>0</v>
      </c>
      <c r="G44" s="1135">
        <v>0</v>
      </c>
      <c r="H44" s="1135">
        <v>0</v>
      </c>
    </row>
    <row r="45" spans="1:8">
      <c r="C45" s="1134" t="s">
        <v>897</v>
      </c>
      <c r="D45" s="1134" t="s">
        <v>900</v>
      </c>
      <c r="E45" s="1135">
        <v>1.9E-2</v>
      </c>
      <c r="F45" s="1135">
        <v>0</v>
      </c>
      <c r="G45" s="1135">
        <v>0</v>
      </c>
      <c r="H45" s="1135">
        <v>0</v>
      </c>
    </row>
    <row r="46" spans="1:8">
      <c r="C46" s="1134" t="s">
        <v>897</v>
      </c>
      <c r="D46" s="1134" t="s">
        <v>901</v>
      </c>
      <c r="E46" s="1135">
        <v>1.4999999999999999E-2</v>
      </c>
      <c r="F46" s="1135">
        <v>0</v>
      </c>
      <c r="G46" s="1135">
        <v>0</v>
      </c>
      <c r="H46" s="1135">
        <v>0</v>
      </c>
    </row>
    <row r="47" spans="1:8">
      <c r="C47" s="1134" t="s">
        <v>897</v>
      </c>
      <c r="D47" s="1134" t="s">
        <v>902</v>
      </c>
      <c r="E47" s="1135">
        <v>3.9E-2</v>
      </c>
      <c r="F47" s="1135">
        <v>0</v>
      </c>
      <c r="G47" s="1135">
        <v>0</v>
      </c>
      <c r="H47" s="1135">
        <v>0</v>
      </c>
    </row>
    <row r="48" spans="1:8">
      <c r="C48" s="1134" t="s">
        <v>897</v>
      </c>
      <c r="D48" s="1134" t="s">
        <v>903</v>
      </c>
      <c r="E48" s="1135">
        <v>1.7999999999999999E-2</v>
      </c>
      <c r="F48" s="1135">
        <v>0</v>
      </c>
      <c r="G48" s="1135">
        <v>0</v>
      </c>
      <c r="H48" s="1135">
        <v>0</v>
      </c>
    </row>
    <row r="49" spans="3:8">
      <c r="C49" s="1134" t="s">
        <v>897</v>
      </c>
      <c r="D49" s="1134" t="s">
        <v>904</v>
      </c>
      <c r="E49" s="1135">
        <v>1.7999999999999999E-2</v>
      </c>
      <c r="F49" s="1135">
        <v>0</v>
      </c>
      <c r="G49" s="1135">
        <v>0</v>
      </c>
      <c r="H49" s="1135">
        <v>0</v>
      </c>
    </row>
    <row r="50" spans="3:8">
      <c r="C50" s="1134" t="s">
        <v>897</v>
      </c>
      <c r="D50" s="1134" t="s">
        <v>905</v>
      </c>
      <c r="E50" s="1135">
        <v>5.0000000000000001E-3</v>
      </c>
      <c r="F50" s="1135">
        <v>0</v>
      </c>
      <c r="G50" s="1135">
        <v>0</v>
      </c>
      <c r="H50" s="1135">
        <v>0</v>
      </c>
    </row>
    <row r="51" spans="3:8">
      <c r="C51" s="1134" t="s">
        <v>897</v>
      </c>
      <c r="D51" s="1134" t="s">
        <v>906</v>
      </c>
      <c r="E51" s="1135">
        <v>0.03</v>
      </c>
      <c r="F51" s="1135">
        <v>0</v>
      </c>
      <c r="G51" s="1135">
        <v>0</v>
      </c>
      <c r="H51" s="1135">
        <v>0</v>
      </c>
    </row>
    <row r="52" spans="3:8">
      <c r="C52" s="1134" t="s">
        <v>907</v>
      </c>
      <c r="D52" s="1134" t="s">
        <v>908</v>
      </c>
      <c r="E52" s="1135">
        <v>6.5</v>
      </c>
      <c r="F52" s="1135">
        <v>0</v>
      </c>
      <c r="G52" s="1135">
        <v>0</v>
      </c>
      <c r="H52" s="1135">
        <v>0</v>
      </c>
    </row>
    <row r="53" spans="3:8">
      <c r="C53" s="1134" t="s">
        <v>897</v>
      </c>
      <c r="D53" s="1134" t="s">
        <v>909</v>
      </c>
      <c r="E53" s="1135">
        <v>4.6000000000000001E-4</v>
      </c>
      <c r="F53" s="1135">
        <v>0</v>
      </c>
      <c r="G53" s="1135">
        <v>0</v>
      </c>
      <c r="H53" s="1135">
        <v>0</v>
      </c>
    </row>
    <row r="54" spans="3:8">
      <c r="C54" s="1134" t="s">
        <v>910</v>
      </c>
      <c r="D54" s="1134" t="s">
        <v>911</v>
      </c>
      <c r="E54" s="1135">
        <v>0.2</v>
      </c>
      <c r="F54" s="1135">
        <v>0</v>
      </c>
      <c r="G54" s="1135">
        <v>0</v>
      </c>
      <c r="H54" s="1135">
        <v>0</v>
      </c>
    </row>
    <row r="55" spans="3:8">
      <c r="C55" s="1134" t="s">
        <v>910</v>
      </c>
      <c r="D55" s="1134" t="s">
        <v>912</v>
      </c>
      <c r="E55" s="1135">
        <v>0.05</v>
      </c>
      <c r="F55" s="1135">
        <v>0</v>
      </c>
      <c r="G55" s="1135">
        <v>0</v>
      </c>
      <c r="H55" s="1135">
        <v>0</v>
      </c>
    </row>
    <row r="56" spans="3:8">
      <c r="C56" s="1134" t="s">
        <v>897</v>
      </c>
      <c r="D56" s="1134" t="s">
        <v>913</v>
      </c>
      <c r="E56" s="1135">
        <v>1.7999999999999999E-2</v>
      </c>
      <c r="F56" s="1135">
        <v>0</v>
      </c>
      <c r="G56" s="1135">
        <v>0</v>
      </c>
      <c r="H56" s="1135">
        <v>0</v>
      </c>
    </row>
    <row r="57" spans="3:8">
      <c r="C57" s="1134" t="s">
        <v>914</v>
      </c>
      <c r="D57" s="1134" t="s">
        <v>915</v>
      </c>
      <c r="E57" s="1135">
        <v>6</v>
      </c>
      <c r="F57" s="1135">
        <v>0</v>
      </c>
      <c r="G57" s="1135">
        <v>0</v>
      </c>
      <c r="H57" s="1135">
        <v>0</v>
      </c>
    </row>
    <row r="58" spans="3:8">
      <c r="C58" s="1134" t="s">
        <v>914</v>
      </c>
      <c r="D58" s="1134" t="s">
        <v>916</v>
      </c>
      <c r="E58" s="1135">
        <v>1.2</v>
      </c>
      <c r="F58" s="1135">
        <v>0</v>
      </c>
      <c r="G58" s="1135">
        <v>0</v>
      </c>
      <c r="H58" s="1135">
        <v>0</v>
      </c>
    </row>
    <row r="59" spans="3:8">
      <c r="C59" s="1134" t="s">
        <v>897</v>
      </c>
      <c r="D59" s="1134" t="s">
        <v>917</v>
      </c>
      <c r="E59" s="1135">
        <v>1.1299999999999999E-2</v>
      </c>
      <c r="F59" s="1135">
        <v>0</v>
      </c>
      <c r="G59" s="1135">
        <v>0</v>
      </c>
      <c r="H59" s="1135">
        <v>0</v>
      </c>
    </row>
    <row r="60" spans="3:8">
      <c r="C60" s="1134" t="s">
        <v>897</v>
      </c>
      <c r="D60" s="1134" t="s">
        <v>918</v>
      </c>
      <c r="E60" s="1135">
        <v>5.0000000000000001E-3</v>
      </c>
      <c r="F60" s="1135">
        <v>0</v>
      </c>
      <c r="G60" s="1135">
        <v>0</v>
      </c>
      <c r="H60" s="1135">
        <v>0</v>
      </c>
    </row>
    <row r="61" spans="3:8">
      <c r="C61" s="1134" t="s">
        <v>897</v>
      </c>
      <c r="D61" s="1134" t="s">
        <v>919</v>
      </c>
      <c r="E61" s="1135">
        <v>0.03</v>
      </c>
      <c r="F61" s="1135">
        <v>0</v>
      </c>
      <c r="G61" s="1135">
        <v>0</v>
      </c>
      <c r="H61" s="1135">
        <v>0</v>
      </c>
    </row>
    <row r="62" spans="3:8">
      <c r="C62" s="1134" t="s">
        <v>920</v>
      </c>
      <c r="D62" s="1134" t="s">
        <v>119</v>
      </c>
      <c r="E62" s="1135">
        <v>0.7</v>
      </c>
      <c r="F62" s="1135">
        <v>0</v>
      </c>
      <c r="G62" s="1135">
        <v>0</v>
      </c>
      <c r="H62" s="1135">
        <v>0</v>
      </c>
    </row>
    <row r="63" spans="3:8">
      <c r="C63" s="1134" t="s">
        <v>156</v>
      </c>
      <c r="D63" s="1134" t="s">
        <v>921</v>
      </c>
      <c r="E63" s="1135">
        <v>10.7</v>
      </c>
      <c r="F63" s="1135">
        <v>0</v>
      </c>
      <c r="G63" s="1135">
        <v>0</v>
      </c>
      <c r="H63" s="1135">
        <v>0</v>
      </c>
    </row>
    <row r="64" spans="3:8">
      <c r="C64" s="1134" t="s">
        <v>156</v>
      </c>
      <c r="D64" s="1134" t="s">
        <v>922</v>
      </c>
      <c r="E64" s="1137">
        <v>11.8</v>
      </c>
      <c r="F64" s="1135">
        <v>0</v>
      </c>
      <c r="G64" s="1137">
        <v>0</v>
      </c>
      <c r="H64" s="1135">
        <v>0</v>
      </c>
    </row>
    <row r="65" spans="1:8">
      <c r="C65" s="1138" t="s">
        <v>923</v>
      </c>
      <c r="D65" s="1134" t="s">
        <v>924</v>
      </c>
      <c r="E65" s="1139">
        <v>47.2</v>
      </c>
      <c r="F65" s="1135">
        <v>0</v>
      </c>
      <c r="G65" s="1139">
        <v>0</v>
      </c>
      <c r="H65" s="1140">
        <v>0</v>
      </c>
    </row>
    <row r="66" spans="1:8">
      <c r="C66" s="1138" t="s">
        <v>925</v>
      </c>
      <c r="D66" s="1134" t="s">
        <v>926</v>
      </c>
      <c r="E66" s="1139">
        <v>53.5</v>
      </c>
      <c r="F66" s="1141">
        <v>0</v>
      </c>
      <c r="G66" s="1139">
        <v>0</v>
      </c>
      <c r="H66" s="1140">
        <v>0</v>
      </c>
    </row>
    <row r="67" spans="1:8">
      <c r="C67" s="1138" t="s">
        <v>86</v>
      </c>
      <c r="D67" s="1134" t="s">
        <v>927</v>
      </c>
      <c r="E67" s="1139">
        <v>1</v>
      </c>
      <c r="F67" s="1141">
        <v>0</v>
      </c>
      <c r="G67" s="1139">
        <v>0</v>
      </c>
      <c r="H67" s="1140">
        <v>0</v>
      </c>
    </row>
    <row r="68" spans="1:8">
      <c r="C68" s="1138"/>
      <c r="D68" s="1134"/>
      <c r="E68" s="1139"/>
      <c r="F68" s="1141"/>
      <c r="G68" s="1139"/>
      <c r="H68" s="1140"/>
    </row>
    <row r="69" spans="1:8">
      <c r="A69" s="1132" t="s">
        <v>928</v>
      </c>
      <c r="C69" s="1138"/>
      <c r="D69" s="1134"/>
      <c r="E69" s="1139"/>
      <c r="F69" s="1141"/>
      <c r="G69" s="1139"/>
      <c r="H69" s="1140"/>
    </row>
    <row r="70" spans="1:8">
      <c r="C70" s="1138" t="s">
        <v>844</v>
      </c>
      <c r="D70" s="1134" t="s">
        <v>929</v>
      </c>
      <c r="E70" s="1139">
        <v>1E-3</v>
      </c>
      <c r="F70" s="1135">
        <v>0</v>
      </c>
      <c r="G70" s="1139">
        <v>0</v>
      </c>
      <c r="H70" s="1140">
        <v>0</v>
      </c>
    </row>
    <row r="71" spans="1:8">
      <c r="C71" s="1138" t="s">
        <v>844</v>
      </c>
      <c r="D71" s="1134" t="s">
        <v>930</v>
      </c>
      <c r="E71" s="1139">
        <v>8.0000000000000004E-4</v>
      </c>
      <c r="F71" s="1135">
        <v>0</v>
      </c>
      <c r="G71" s="1139">
        <v>0</v>
      </c>
      <c r="H71" s="1140">
        <v>0</v>
      </c>
    </row>
    <row r="72" spans="1:8">
      <c r="C72" s="1138" t="s">
        <v>844</v>
      </c>
      <c r="D72" s="1134" t="s">
        <v>931</v>
      </c>
      <c r="E72" s="1139">
        <v>5.0000000000000001E-3</v>
      </c>
      <c r="F72" s="1135">
        <v>0</v>
      </c>
      <c r="G72" s="1139">
        <v>0</v>
      </c>
      <c r="H72" s="1140">
        <v>0</v>
      </c>
    </row>
    <row r="73" spans="1:8">
      <c r="C73" s="1138" t="s">
        <v>897</v>
      </c>
      <c r="D73" s="1134" t="s">
        <v>932</v>
      </c>
      <c r="E73" s="1142">
        <v>3.3500000000000001E-3</v>
      </c>
      <c r="F73" s="1135">
        <v>0</v>
      </c>
      <c r="G73" s="1142">
        <v>0</v>
      </c>
      <c r="H73" s="1140">
        <v>0</v>
      </c>
    </row>
    <row r="74" spans="1:8">
      <c r="C74" s="1138" t="s">
        <v>844</v>
      </c>
      <c r="D74" s="1134" t="s">
        <v>933</v>
      </c>
      <c r="E74" s="1143">
        <v>1.2E-2</v>
      </c>
      <c r="F74" s="1135">
        <v>0</v>
      </c>
      <c r="G74" s="1142">
        <v>0</v>
      </c>
      <c r="H74" s="1140">
        <v>0</v>
      </c>
    </row>
    <row r="76" spans="1:8">
      <c r="A76" s="1132" t="s">
        <v>934</v>
      </c>
    </row>
    <row r="77" spans="1:8">
      <c r="C77" t="str">
        <f t="shared" ref="C77:H81" si="0">C63</f>
        <v>kWh</v>
      </c>
      <c r="D77" t="str">
        <f t="shared" si="0"/>
        <v xml:space="preserve">Dansk elektricitet (1992) </v>
      </c>
      <c r="E77">
        <f t="shared" si="0"/>
        <v>10.7</v>
      </c>
      <c r="F77">
        <f t="shared" si="0"/>
        <v>0</v>
      </c>
      <c r="G77">
        <f t="shared" si="0"/>
        <v>0</v>
      </c>
      <c r="H77">
        <f t="shared" si="0"/>
        <v>0</v>
      </c>
    </row>
    <row r="78" spans="1:8">
      <c r="C78" t="str">
        <f t="shared" si="0"/>
        <v>kWh</v>
      </c>
      <c r="D78" t="str">
        <f t="shared" si="0"/>
        <v>EU elektricitet (1994)</v>
      </c>
      <c r="E78">
        <f t="shared" si="0"/>
        <v>11.8</v>
      </c>
      <c r="F78">
        <f t="shared" si="0"/>
        <v>0</v>
      </c>
      <c r="G78">
        <f t="shared" si="0"/>
        <v>0</v>
      </c>
      <c r="H78">
        <f t="shared" si="0"/>
        <v>0</v>
      </c>
    </row>
    <row r="79" spans="1:8">
      <c r="C79" t="str">
        <f t="shared" si="0"/>
        <v>kg fuelolie</v>
      </c>
      <c r="D79" t="str">
        <f t="shared" si="0"/>
        <v>Fuelolie, forbrænding af, 1-100 MW</v>
      </c>
      <c r="E79">
        <f t="shared" si="0"/>
        <v>47.2</v>
      </c>
      <c r="F79">
        <f t="shared" si="0"/>
        <v>0</v>
      </c>
      <c r="G79">
        <f t="shared" si="0"/>
        <v>0</v>
      </c>
      <c r="H79">
        <f t="shared" si="0"/>
        <v>0</v>
      </c>
    </row>
    <row r="80" spans="1:8">
      <c r="C80" t="str">
        <f t="shared" si="0"/>
        <v>kg naturgas</v>
      </c>
      <c r="D80" t="str">
        <f t="shared" si="0"/>
        <v>Naturgas, forbrænding af, 1-50 MW</v>
      </c>
      <c r="E80">
        <f t="shared" si="0"/>
        <v>53.5</v>
      </c>
      <c r="F80">
        <f t="shared" si="0"/>
        <v>0</v>
      </c>
      <c r="G80">
        <f t="shared" si="0"/>
        <v>0</v>
      </c>
      <c r="H80">
        <f t="shared" si="0"/>
        <v>0</v>
      </c>
    </row>
    <row r="81" spans="1:8">
      <c r="C81" t="str">
        <f t="shared" si="0"/>
        <v>MJ</v>
      </c>
      <c r="D81" t="str">
        <f t="shared" si="0"/>
        <v>Primær energi, uspecificeret</v>
      </c>
      <c r="E81">
        <f t="shared" si="0"/>
        <v>1</v>
      </c>
      <c r="F81">
        <f t="shared" si="0"/>
        <v>0</v>
      </c>
      <c r="G81">
        <f t="shared" si="0"/>
        <v>0</v>
      </c>
      <c r="H81">
        <f t="shared" si="0"/>
        <v>0</v>
      </c>
    </row>
    <row r="83" spans="1:8">
      <c r="A83" s="1132" t="s">
        <v>935</v>
      </c>
    </row>
    <row r="84" spans="1:8">
      <c r="C84" t="str">
        <f>C6</f>
        <v>g</v>
      </c>
      <c r="D84" s="1144" t="str">
        <f>CONCATENATE(D6, " (bortskaffes ved forbrænding)")</f>
        <v>ABS (bortskaffes ved forbrænding)</v>
      </c>
      <c r="E84">
        <f>E6</f>
        <v>9.5000000000000001E-2</v>
      </c>
      <c r="F84">
        <f>F6</f>
        <v>4.0000000000000003E-5</v>
      </c>
      <c r="G84">
        <f>G6</f>
        <v>4.0000000000000001E-3</v>
      </c>
      <c r="H84">
        <f>H6</f>
        <v>0.04</v>
      </c>
    </row>
    <row r="85" spans="1:8">
      <c r="C85" t="str">
        <f>C6</f>
        <v>g</v>
      </c>
      <c r="D85" s="1144" t="str">
        <f>CONCATENATE(D6, " (genvindes)")</f>
        <v>ABS (genvindes)</v>
      </c>
      <c r="E85">
        <f t="shared" ref="E85:H86" si="1">E6</f>
        <v>9.5000000000000001E-2</v>
      </c>
      <c r="F85">
        <f t="shared" si="1"/>
        <v>4.0000000000000003E-5</v>
      </c>
      <c r="G85">
        <f>G6</f>
        <v>4.0000000000000001E-3</v>
      </c>
      <c r="H85">
        <f t="shared" si="1"/>
        <v>0.04</v>
      </c>
    </row>
    <row r="86" spans="1:8">
      <c r="C86" t="str">
        <f>C7</f>
        <v>g</v>
      </c>
      <c r="D86" s="1144" t="str">
        <f>CONCATENATE(D7, " (bortskaffes ved forbrænding)")</f>
        <v>EPS, ekspanderet polystyren (bortskaffes ved forbrænding)</v>
      </c>
      <c r="E86">
        <f t="shared" si="1"/>
        <v>0.127</v>
      </c>
      <c r="F86">
        <f t="shared" si="1"/>
        <v>4.0000000000000003E-5</v>
      </c>
      <c r="G86">
        <f>G7</f>
        <v>4.0000000000000001E-3</v>
      </c>
      <c r="H86">
        <f t="shared" si="1"/>
        <v>4.8000000000000001E-2</v>
      </c>
    </row>
    <row r="87" spans="1:8">
      <c r="C87" t="str">
        <f>C7</f>
        <v>g</v>
      </c>
      <c r="D87" s="1144" t="str">
        <f>CONCATENATE(D7, " (genvindes)")</f>
        <v>EPS, ekspanderet polystyren (genvindes)</v>
      </c>
      <c r="E87">
        <f t="shared" ref="E87:H88" si="2">E7</f>
        <v>0.127</v>
      </c>
      <c r="F87">
        <f t="shared" si="2"/>
        <v>4.0000000000000003E-5</v>
      </c>
      <c r="G87">
        <f>G7</f>
        <v>4.0000000000000001E-3</v>
      </c>
      <c r="H87">
        <f t="shared" si="2"/>
        <v>4.8000000000000001E-2</v>
      </c>
    </row>
    <row r="88" spans="1:8">
      <c r="C88" t="str">
        <f>C8</f>
        <v>g</v>
      </c>
      <c r="D88" s="1144" t="str">
        <f>CONCATENATE(D8, " (bortskaffes ved forbrænding)")</f>
        <v>PA, polyamid (bortskaffes ved forbrænding)</v>
      </c>
      <c r="E88">
        <f t="shared" si="2"/>
        <v>0.14000000000000001</v>
      </c>
      <c r="F88">
        <f t="shared" si="2"/>
        <v>4.0000000000000003E-5</v>
      </c>
      <c r="G88">
        <f>G8</f>
        <v>4.0000000000000001E-3</v>
      </c>
      <c r="H88">
        <f t="shared" si="2"/>
        <v>0.03</v>
      </c>
    </row>
    <row r="89" spans="1:8">
      <c r="C89" t="s">
        <v>519</v>
      </c>
      <c r="D89" s="1144" t="str">
        <f>CONCATENATE(D8, " (genvindes)")</f>
        <v>PA, polyamid (genvindes)</v>
      </c>
      <c r="E89">
        <f t="shared" ref="E89:H90" si="3">E8</f>
        <v>0.14000000000000001</v>
      </c>
      <c r="F89">
        <f t="shared" si="3"/>
        <v>4.0000000000000003E-5</v>
      </c>
      <c r="G89">
        <f>G8</f>
        <v>4.0000000000000001E-3</v>
      </c>
      <c r="H89">
        <f t="shared" si="3"/>
        <v>0.03</v>
      </c>
    </row>
    <row r="90" spans="1:8">
      <c r="C90" t="str">
        <f>C10</f>
        <v>g</v>
      </c>
      <c r="D90" s="1144" t="str">
        <f>CONCATENATE(D9, " (bortskaffes ved forbrænding)")</f>
        <v>PC, polykarbonat (bortskaffes ved forbrænding)</v>
      </c>
      <c r="E90">
        <f t="shared" si="3"/>
        <v>0.115</v>
      </c>
      <c r="F90">
        <f t="shared" si="3"/>
        <v>4.0000000000000003E-5</v>
      </c>
      <c r="G90">
        <f>G9</f>
        <v>4.0000000000000001E-3</v>
      </c>
      <c r="H90">
        <f t="shared" si="3"/>
        <v>0.03</v>
      </c>
    </row>
    <row r="91" spans="1:8">
      <c r="C91" t="str">
        <f t="shared" ref="C91:C102" si="4">C10</f>
        <v>g</v>
      </c>
      <c r="D91" s="1144" t="str">
        <f>CONCATENATE(D9, " (genvindes)")</f>
        <v>PC, polykarbonat (genvindes)</v>
      </c>
      <c r="E91">
        <f t="shared" ref="E91:H92" si="5">E9</f>
        <v>0.115</v>
      </c>
      <c r="F91">
        <f t="shared" si="5"/>
        <v>4.0000000000000003E-5</v>
      </c>
      <c r="G91">
        <f>G9</f>
        <v>4.0000000000000001E-3</v>
      </c>
      <c r="H91">
        <f t="shared" si="5"/>
        <v>0.03</v>
      </c>
    </row>
    <row r="92" spans="1:8">
      <c r="C92" t="str">
        <f t="shared" si="4"/>
        <v>g</v>
      </c>
      <c r="D92" s="1144" t="str">
        <f>CONCATENATE(D10, " (bortskaffes ved forbrænding)")</f>
        <v>PE, polyethylen (bortskaffes ved forbrænding)</v>
      </c>
      <c r="E92">
        <f t="shared" si="5"/>
        <v>7.4999999999999997E-2</v>
      </c>
      <c r="F92">
        <f t="shared" si="5"/>
        <v>4.0000000000000003E-5</v>
      </c>
      <c r="G92">
        <f>G10</f>
        <v>4.0000000000000001E-3</v>
      </c>
      <c r="H92">
        <f t="shared" si="5"/>
        <v>0.04</v>
      </c>
    </row>
    <row r="93" spans="1:8">
      <c r="C93" t="str">
        <f t="shared" si="4"/>
        <v>g</v>
      </c>
      <c r="D93" s="1144" t="str">
        <f>CONCATENATE(D10, " (genvindes)")</f>
        <v>PE, polyethylen (genvindes)</v>
      </c>
      <c r="E93">
        <f t="shared" ref="E93:H94" si="6">E10</f>
        <v>7.4999999999999997E-2</v>
      </c>
      <c r="F93">
        <f t="shared" si="6"/>
        <v>4.0000000000000003E-5</v>
      </c>
      <c r="G93">
        <f>G10</f>
        <v>4.0000000000000001E-3</v>
      </c>
      <c r="H93">
        <f t="shared" si="6"/>
        <v>0.04</v>
      </c>
    </row>
    <row r="94" spans="1:8">
      <c r="C94" t="str">
        <f t="shared" si="4"/>
        <v>g</v>
      </c>
      <c r="D94" s="1144" t="str">
        <f>CONCATENATE(D11, " (bortskaffes ved forbrænding)")</f>
        <v>PET, polyethylen terephthalat (bortskaffes ved forbrænding)</v>
      </c>
      <c r="E94">
        <f t="shared" si="6"/>
        <v>0.08</v>
      </c>
      <c r="F94">
        <f t="shared" si="6"/>
        <v>4.0000000000000003E-5</v>
      </c>
      <c r="G94">
        <f>G11</f>
        <v>4.0000000000000001E-3</v>
      </c>
      <c r="H94">
        <f t="shared" si="6"/>
        <v>0.03</v>
      </c>
    </row>
    <row r="95" spans="1:8">
      <c r="C95" t="str">
        <f t="shared" si="4"/>
        <v>g</v>
      </c>
      <c r="D95" s="1144" t="str">
        <f>CONCATENATE(D11, " (genvindes)")</f>
        <v>PET, polyethylen terephthalat (genvindes)</v>
      </c>
      <c r="E95">
        <f t="shared" ref="E95:H96" si="7">E11</f>
        <v>0.08</v>
      </c>
      <c r="F95">
        <f t="shared" si="7"/>
        <v>4.0000000000000003E-5</v>
      </c>
      <c r="G95">
        <f>G11</f>
        <v>4.0000000000000001E-3</v>
      </c>
      <c r="H95">
        <f t="shared" si="7"/>
        <v>0.03</v>
      </c>
    </row>
    <row r="96" spans="1:8">
      <c r="C96" t="str">
        <f t="shared" si="4"/>
        <v>g</v>
      </c>
      <c r="D96" s="1144" t="str">
        <f>CONCATENATE(D12, " (bortskaffes ved forbrænding)")</f>
        <v>PMMA, polymethylmetakrylat (bortskaffes ved forbrænding)</v>
      </c>
      <c r="E96">
        <f t="shared" si="7"/>
        <v>0.11</v>
      </c>
      <c r="F96">
        <f t="shared" si="7"/>
        <v>4.0000000000000003E-5</v>
      </c>
      <c r="G96">
        <f>G12</f>
        <v>4.0000000000000001E-3</v>
      </c>
      <c r="H96">
        <f t="shared" si="7"/>
        <v>0.04</v>
      </c>
    </row>
    <row r="97" spans="3:8">
      <c r="C97" t="str">
        <f t="shared" si="4"/>
        <v>g</v>
      </c>
      <c r="D97" s="1144" t="str">
        <f>CONCATENATE(D12, " (genvindes)")</f>
        <v>PMMA, polymethylmetakrylat (genvindes)</v>
      </c>
      <c r="E97">
        <f t="shared" ref="E97:H98" si="8">E12</f>
        <v>0.11</v>
      </c>
      <c r="F97">
        <f t="shared" si="8"/>
        <v>4.0000000000000003E-5</v>
      </c>
      <c r="G97">
        <f>G12</f>
        <v>4.0000000000000001E-3</v>
      </c>
      <c r="H97">
        <f t="shared" si="8"/>
        <v>0.04</v>
      </c>
    </row>
    <row r="98" spans="3:8">
      <c r="C98" t="str">
        <f t="shared" si="4"/>
        <v>g</v>
      </c>
      <c r="D98" s="1144" t="str">
        <f>CONCATENATE(D13, " (bortskaffes ved forbrænding)")</f>
        <v>Polybutadien, syntetisk gummi (bortskaffes ved forbrænding)</v>
      </c>
      <c r="E98">
        <f t="shared" si="8"/>
        <v>8.1000000000000003E-2</v>
      </c>
      <c r="F98">
        <f t="shared" si="8"/>
        <v>4.0000000000000003E-5</v>
      </c>
      <c r="G98">
        <f>G13</f>
        <v>4.0000000000000001E-3</v>
      </c>
      <c r="H98">
        <f t="shared" si="8"/>
        <v>4.5999999999999999E-2</v>
      </c>
    </row>
    <row r="99" spans="3:8">
      <c r="C99" t="str">
        <f t="shared" si="4"/>
        <v>g</v>
      </c>
      <c r="D99" s="1144" t="str">
        <f>CONCATENATE(D13, " (genvindes)")</f>
        <v>Polybutadien, syntetisk gummi (genvindes)</v>
      </c>
      <c r="E99">
        <f t="shared" ref="E99:H100" si="9">E13</f>
        <v>8.1000000000000003E-2</v>
      </c>
      <c r="F99">
        <f t="shared" si="9"/>
        <v>4.0000000000000003E-5</v>
      </c>
      <c r="G99">
        <f>G13</f>
        <v>4.0000000000000001E-3</v>
      </c>
      <c r="H99">
        <f t="shared" si="9"/>
        <v>4.5999999999999999E-2</v>
      </c>
    </row>
    <row r="100" spans="3:8">
      <c r="C100" t="str">
        <f t="shared" si="4"/>
        <v>g</v>
      </c>
      <c r="D100" s="1144" t="str">
        <f>CONCATENATE(D14, " (bortskaffes ved forbrænding)")</f>
        <v>POM, polyoximethylen (acetalplast) (bortskaffes ved forbrænding)</v>
      </c>
      <c r="E100">
        <f t="shared" si="9"/>
        <v>8.4000000000000005E-2</v>
      </c>
      <c r="F100">
        <f t="shared" si="9"/>
        <v>4.0000000000000003E-5</v>
      </c>
      <c r="G100">
        <f>G14</f>
        <v>4.0000000000000001E-3</v>
      </c>
      <c r="H100">
        <f t="shared" si="9"/>
        <v>4.4999999999999998E-2</v>
      </c>
    </row>
    <row r="101" spans="3:8">
      <c r="C101" t="str">
        <f t="shared" si="4"/>
        <v>g</v>
      </c>
      <c r="D101" s="1144" t="str">
        <f>CONCATENATE(D14, " (genvindes)")</f>
        <v>POM, polyoximethylen (acetalplast) (genvindes)</v>
      </c>
      <c r="E101">
        <f t="shared" ref="E101:H102" si="10">E14</f>
        <v>8.4000000000000005E-2</v>
      </c>
      <c r="F101">
        <f t="shared" si="10"/>
        <v>4.0000000000000003E-5</v>
      </c>
      <c r="G101">
        <f>G14</f>
        <v>4.0000000000000001E-3</v>
      </c>
      <c r="H101">
        <f t="shared" si="10"/>
        <v>4.4999999999999998E-2</v>
      </c>
    </row>
    <row r="102" spans="3:8">
      <c r="C102" t="str">
        <f t="shared" si="4"/>
        <v>g</v>
      </c>
      <c r="D102" s="1144" t="str">
        <f>CONCATENATE(D15, " (bortskaffes ved forbrænding)")</f>
        <v>PP, polypropylen (bortskaffes ved forbrænding)</v>
      </c>
      <c r="E102">
        <f t="shared" si="10"/>
        <v>0.08</v>
      </c>
      <c r="F102">
        <f t="shared" si="10"/>
        <v>4.0000000000000003E-5</v>
      </c>
      <c r="G102">
        <f>G15</f>
        <v>4.0000000000000001E-3</v>
      </c>
      <c r="H102">
        <f t="shared" si="10"/>
        <v>0.04</v>
      </c>
    </row>
    <row r="103" spans="3:8">
      <c r="C103" t="str">
        <f t="shared" ref="C103:C115" si="11">C6</f>
        <v>g</v>
      </c>
      <c r="D103" s="1144" t="str">
        <f>CONCATENATE(D15, " (genvindes)")</f>
        <v>PP, polypropylen (genvindes)</v>
      </c>
      <c r="E103">
        <f t="shared" ref="E103:H104" si="12">E15</f>
        <v>0.08</v>
      </c>
      <c r="F103">
        <f t="shared" si="12"/>
        <v>4.0000000000000003E-5</v>
      </c>
      <c r="G103">
        <f>G15</f>
        <v>4.0000000000000001E-3</v>
      </c>
      <c r="H103">
        <f t="shared" si="12"/>
        <v>0.04</v>
      </c>
    </row>
    <row r="104" spans="3:8">
      <c r="C104" t="str">
        <f t="shared" si="11"/>
        <v>g</v>
      </c>
      <c r="D104" s="1144" t="str">
        <f>CONCATENATE(D16, " (bortskaffes ved forbrænding)")</f>
        <v>PS, polystyren (bortskaffes ved forbrænding)</v>
      </c>
      <c r="E104">
        <f t="shared" si="12"/>
        <v>0.09</v>
      </c>
      <c r="F104">
        <f t="shared" si="12"/>
        <v>4.0000000000000003E-5</v>
      </c>
      <c r="G104">
        <f>G16</f>
        <v>4.0000000000000001E-3</v>
      </c>
      <c r="H104">
        <f t="shared" si="12"/>
        <v>0.04</v>
      </c>
    </row>
    <row r="105" spans="3:8">
      <c r="C105" t="str">
        <f t="shared" si="11"/>
        <v>g</v>
      </c>
      <c r="D105" s="1144" t="str">
        <f>CONCATENATE(D16, " (genvindes)")</f>
        <v>PS, polystyren (genvindes)</v>
      </c>
      <c r="E105">
        <f t="shared" ref="E105:H106" si="13">E16</f>
        <v>0.09</v>
      </c>
      <c r="F105">
        <f t="shared" si="13"/>
        <v>4.0000000000000003E-5</v>
      </c>
      <c r="G105">
        <f>G16</f>
        <v>4.0000000000000001E-3</v>
      </c>
      <c r="H105">
        <f t="shared" si="13"/>
        <v>0.04</v>
      </c>
    </row>
    <row r="106" spans="3:8">
      <c r="C106" t="str">
        <f t="shared" si="11"/>
        <v>g</v>
      </c>
      <c r="D106" s="1144" t="str">
        <f>CONCATENATE(D17, " (bortskaffes ved forbrænding)")</f>
        <v>PUR, polyurethan (bortskaffes ved forbrænding)</v>
      </c>
      <c r="E106">
        <f t="shared" si="13"/>
        <v>0.11</v>
      </c>
      <c r="F106">
        <f t="shared" si="13"/>
        <v>3.0000000000000001E-5</v>
      </c>
      <c r="G106">
        <f>G17</f>
        <v>4.0000000000000001E-3</v>
      </c>
      <c r="H106">
        <f t="shared" si="13"/>
        <v>0.03</v>
      </c>
    </row>
    <row r="107" spans="3:8">
      <c r="C107" t="str">
        <f t="shared" si="11"/>
        <v>g</v>
      </c>
      <c r="D107" s="1144" t="str">
        <f>CONCATENATE(D17, " (genvindes)")</f>
        <v>PUR, polyurethan (genvindes)</v>
      </c>
      <c r="E107">
        <f t="shared" ref="E107:H108" si="14">E17</f>
        <v>0.11</v>
      </c>
      <c r="F107">
        <f t="shared" si="14"/>
        <v>3.0000000000000001E-5</v>
      </c>
      <c r="G107">
        <f>G17</f>
        <v>4.0000000000000001E-3</v>
      </c>
      <c r="H107">
        <f t="shared" si="14"/>
        <v>0.03</v>
      </c>
    </row>
    <row r="108" spans="3:8">
      <c r="C108" t="str">
        <f t="shared" si="11"/>
        <v>g</v>
      </c>
      <c r="D108" s="1144" t="str">
        <f>CONCATENATE(D18, " (bortskaffes ved forbrænding)")</f>
        <v>PVC, polyvinylchlorid (bortskaffes ved forbrænding)</v>
      </c>
      <c r="E108">
        <f t="shared" si="14"/>
        <v>6.5000000000000002E-2</v>
      </c>
      <c r="F108">
        <f t="shared" si="14"/>
        <v>2.0000000000000002E-5</v>
      </c>
      <c r="G108">
        <f>G18</f>
        <v>4.0000000000000001E-3</v>
      </c>
      <c r="H108">
        <f t="shared" si="14"/>
        <v>0.02</v>
      </c>
    </row>
    <row r="109" spans="3:8">
      <c r="C109" t="str">
        <f t="shared" si="11"/>
        <v>g</v>
      </c>
      <c r="D109" s="1144" t="str">
        <f>CONCATENATE(D18, " (genvindes)")</f>
        <v>PVC, polyvinylchlorid (genvindes)</v>
      </c>
      <c r="E109">
        <f t="shared" ref="E109:H110" si="15">E18</f>
        <v>6.5000000000000002E-2</v>
      </c>
      <c r="F109">
        <f t="shared" si="15"/>
        <v>2.0000000000000002E-5</v>
      </c>
      <c r="G109">
        <f>G18</f>
        <v>4.0000000000000001E-3</v>
      </c>
      <c r="H109">
        <f t="shared" si="15"/>
        <v>0.02</v>
      </c>
    </row>
    <row r="110" spans="3:8">
      <c r="C110" t="str">
        <f t="shared" si="11"/>
        <v>g</v>
      </c>
      <c r="D110" s="1144" t="str">
        <f>CONCATENATE(D19, " (bortskaffes ved forbrænding)")</f>
        <v>SAN, styrenakrylnitril (bortskaffes ved forbrænding)</v>
      </c>
      <c r="E110">
        <f t="shared" si="15"/>
        <v>0.09</v>
      </c>
      <c r="F110">
        <f t="shared" si="15"/>
        <v>4.0000000000000003E-5</v>
      </c>
      <c r="G110">
        <f>G19</f>
        <v>4.0000000000000001E-3</v>
      </c>
      <c r="H110">
        <f t="shared" si="15"/>
        <v>0.04</v>
      </c>
    </row>
    <row r="111" spans="3:8">
      <c r="C111" t="str">
        <f t="shared" si="11"/>
        <v>g</v>
      </c>
      <c r="D111" s="1144" t="str">
        <f>CONCATENATE(D19, " (genvindes)")</f>
        <v>SAN, styrenakrylnitril (genvindes)</v>
      </c>
      <c r="E111">
        <f t="shared" ref="E111:H112" si="16">E19</f>
        <v>0.09</v>
      </c>
      <c r="F111">
        <f t="shared" si="16"/>
        <v>4.0000000000000003E-5</v>
      </c>
      <c r="G111">
        <f>G19</f>
        <v>4.0000000000000001E-3</v>
      </c>
      <c r="H111">
        <f t="shared" si="16"/>
        <v>0.04</v>
      </c>
    </row>
    <row r="112" spans="3:8">
      <c r="C112" t="str">
        <f t="shared" si="11"/>
        <v>g</v>
      </c>
      <c r="D112" s="1144" t="str">
        <f>CONCATENATE(D20, " (bortskaffes ved forbrænding)")</f>
        <v>Plast, andre (bortskaffes ved forbrænding)</v>
      </c>
      <c r="E112">
        <f t="shared" si="16"/>
        <v>0.1</v>
      </c>
      <c r="F112">
        <f t="shared" si="16"/>
        <v>4.0000000000000003E-5</v>
      </c>
      <c r="G112">
        <f>G20</f>
        <v>4.0000000000000001E-3</v>
      </c>
      <c r="H112">
        <f t="shared" si="16"/>
        <v>0.04</v>
      </c>
    </row>
    <row r="113" spans="1:8">
      <c r="C113" t="str">
        <f t="shared" si="11"/>
        <v>g</v>
      </c>
      <c r="D113" s="1144" t="str">
        <f>CONCATENATE(D20, " (genvindes)")</f>
        <v>Plast, andre (genvindes)</v>
      </c>
      <c r="E113">
        <f t="shared" ref="E113:H114" si="17">E20</f>
        <v>0.1</v>
      </c>
      <c r="F113">
        <f t="shared" si="17"/>
        <v>4.0000000000000003E-5</v>
      </c>
      <c r="G113">
        <f>G20</f>
        <v>4.0000000000000001E-3</v>
      </c>
      <c r="H113">
        <f t="shared" si="17"/>
        <v>0.04</v>
      </c>
    </row>
    <row r="114" spans="1:8">
      <c r="C114" t="str">
        <f t="shared" si="11"/>
        <v>g</v>
      </c>
      <c r="D114" s="1144" t="str">
        <f>CONCATENATE(D21, " (bortskaffes ved forbrænding)")</f>
        <v>Gummi (bortskaffes ved forbrænding)</v>
      </c>
      <c r="E114">
        <f t="shared" si="17"/>
        <v>8.1000000000000003E-2</v>
      </c>
      <c r="F114">
        <f t="shared" si="17"/>
        <v>4.0000000000000003E-5</v>
      </c>
      <c r="G114">
        <f>G21</f>
        <v>4.0000000000000001E-3</v>
      </c>
      <c r="H114">
        <f t="shared" si="17"/>
        <v>4.5999999999999999E-2</v>
      </c>
    </row>
    <row r="115" spans="1:8">
      <c r="C115" t="str">
        <f t="shared" si="11"/>
        <v>g</v>
      </c>
      <c r="D115" s="1144" t="str">
        <f>CONCATENATE(D21, " (genvindes)")</f>
        <v>Gummi (genvindes)</v>
      </c>
      <c r="E115">
        <f>E21</f>
        <v>8.1000000000000003E-2</v>
      </c>
      <c r="F115">
        <f>F21</f>
        <v>4.0000000000000003E-5</v>
      </c>
      <c r="G115">
        <f>G21</f>
        <v>4.0000000000000001E-3</v>
      </c>
      <c r="H115">
        <f>H21</f>
        <v>4.5999999999999999E-2</v>
      </c>
    </row>
    <row r="116" spans="1:8">
      <c r="A116" t="s">
        <v>936</v>
      </c>
      <c r="C116" t="str">
        <f t="shared" ref="C116:H131" si="18">C24</f>
        <v>g</v>
      </c>
      <c r="D116" s="1144" t="str">
        <f>CONCATENATE(D24, " (genvindes)")</f>
        <v>Aluminium (genvindes)</v>
      </c>
      <c r="E116">
        <f>E24</f>
        <v>0.17</v>
      </c>
      <c r="F116">
        <f t="shared" ref="F116:H131" si="19">F24</f>
        <v>1.5E-3</v>
      </c>
      <c r="G116">
        <f>G24</f>
        <v>0.03</v>
      </c>
      <c r="H116">
        <f>H24</f>
        <v>0</v>
      </c>
    </row>
    <row r="117" spans="1:8">
      <c r="C117" t="str">
        <f t="shared" si="18"/>
        <v>g</v>
      </c>
      <c r="D117" s="1144" t="str">
        <f>CONCATENATE(D25, " (genvindes ikke)")</f>
        <v>Chrom (Cr) (genvindes ikke)</v>
      </c>
      <c r="E117">
        <f t="shared" ref="E117:E130" si="20">E25</f>
        <v>0.2</v>
      </c>
      <c r="F117">
        <f t="shared" si="19"/>
        <v>1.4E-2</v>
      </c>
      <c r="G117">
        <f t="shared" si="19"/>
        <v>0</v>
      </c>
      <c r="H117">
        <f t="shared" si="19"/>
        <v>0</v>
      </c>
    </row>
    <row r="118" spans="1:8">
      <c r="C118" t="str">
        <f t="shared" si="18"/>
        <v>g</v>
      </c>
      <c r="D118" s="1144" t="str">
        <f>CONCATENATE(D26, " (genvindes ikke)")</f>
        <v>Guld (genvindes ikke)</v>
      </c>
      <c r="E118">
        <f t="shared" si="20"/>
        <v>66</v>
      </c>
      <c r="F118">
        <f t="shared" si="19"/>
        <v>90</v>
      </c>
      <c r="G118">
        <f t="shared" si="19"/>
        <v>0.05</v>
      </c>
      <c r="H118">
        <f t="shared" si="19"/>
        <v>0</v>
      </c>
    </row>
    <row r="119" spans="1:8">
      <c r="C119" t="str">
        <f t="shared" si="18"/>
        <v>g</v>
      </c>
      <c r="D119" s="1144" t="str">
        <f>CONCATENATE(D27, " (genvindes ikke)")</f>
        <v>Glas (genvindes ikke)</v>
      </c>
      <c r="E119">
        <f t="shared" si="20"/>
        <v>0.01</v>
      </c>
      <c r="F119">
        <f t="shared" si="19"/>
        <v>0</v>
      </c>
      <c r="G119">
        <f t="shared" si="19"/>
        <v>7.0000000000000001E-3</v>
      </c>
      <c r="H119">
        <f t="shared" si="19"/>
        <v>0</v>
      </c>
    </row>
    <row r="120" spans="1:8">
      <c r="C120" t="str">
        <f t="shared" si="18"/>
        <v>g</v>
      </c>
      <c r="D120" s="1144" t="str">
        <f>CONCATENATE(D28, " (genvindes)")</f>
        <v>Kobber (genvindes)</v>
      </c>
      <c r="E120">
        <f t="shared" si="20"/>
        <v>0.09</v>
      </c>
      <c r="F120">
        <f t="shared" si="19"/>
        <v>1.7000000000000001E-2</v>
      </c>
      <c r="G120">
        <f t="shared" si="19"/>
        <v>0.05</v>
      </c>
      <c r="H120">
        <f t="shared" si="19"/>
        <v>0</v>
      </c>
    </row>
    <row r="121" spans="1:8">
      <c r="C121" t="str">
        <f t="shared" si="18"/>
        <v>g</v>
      </c>
      <c r="D121" s="1144" t="str">
        <f>CONCATENATE(D29, " (genvindes ikke)")</f>
        <v>Magnesium (genvindes ikke)</v>
      </c>
      <c r="E121">
        <f t="shared" si="20"/>
        <v>0.16</v>
      </c>
      <c r="F121">
        <f t="shared" si="19"/>
        <v>0.03</v>
      </c>
      <c r="G121">
        <f t="shared" si="19"/>
        <v>0</v>
      </c>
      <c r="H121">
        <f t="shared" si="19"/>
        <v>0</v>
      </c>
    </row>
    <row r="122" spans="1:8">
      <c r="C122" t="str">
        <f t="shared" si="18"/>
        <v>g</v>
      </c>
      <c r="D122" s="1144" t="str">
        <f>CONCATENATE(D30, " (genvindes)")</f>
        <v>Messing (genvindes)</v>
      </c>
      <c r="E122">
        <f t="shared" si="20"/>
        <v>0.08</v>
      </c>
      <c r="F122">
        <f t="shared" si="19"/>
        <v>2.3E-2</v>
      </c>
      <c r="G122">
        <f t="shared" si="19"/>
        <v>0.05</v>
      </c>
      <c r="H122">
        <f t="shared" si="19"/>
        <v>0</v>
      </c>
    </row>
    <row r="123" spans="1:8">
      <c r="C123" t="str">
        <f t="shared" si="18"/>
        <v>g</v>
      </c>
      <c r="D123" s="1144" t="str">
        <f>CONCATENATE(D31, " (genvindes ikke)")</f>
        <v>Nikkel, Ni (genvindes ikke)</v>
      </c>
      <c r="E123">
        <f t="shared" si="20"/>
        <v>0.19</v>
      </c>
      <c r="F123">
        <f t="shared" si="19"/>
        <v>0.106</v>
      </c>
      <c r="G123">
        <f t="shared" si="19"/>
        <v>0.04</v>
      </c>
      <c r="H123">
        <f t="shared" si="19"/>
        <v>0</v>
      </c>
    </row>
    <row r="124" spans="1:8">
      <c r="C124" t="str">
        <f t="shared" si="18"/>
        <v>g</v>
      </c>
      <c r="D124" s="1144" t="str">
        <f>CONCATENATE(D32, " (bortskaffes ved forbrænding)")</f>
        <v>Papir (bortskaffes ved forbrænding)</v>
      </c>
      <c r="E124">
        <f t="shared" si="20"/>
        <v>0.04</v>
      </c>
      <c r="F124">
        <f t="shared" si="19"/>
        <v>0</v>
      </c>
      <c r="G124">
        <f t="shared" si="19"/>
        <v>0</v>
      </c>
      <c r="H124">
        <f t="shared" si="19"/>
        <v>0.02</v>
      </c>
    </row>
    <row r="125" spans="1:8">
      <c r="C125" t="str">
        <f t="shared" si="18"/>
        <v>g</v>
      </c>
      <c r="D125" s="1144" t="str">
        <f>CONCATENATE(D33, " (bortskaffes ved forbrænding)")</f>
        <v>Pap (bortskaffes ved forbrænding)</v>
      </c>
      <c r="E125">
        <f t="shared" si="20"/>
        <v>0.04</v>
      </c>
      <c r="F125">
        <f t="shared" si="19"/>
        <v>0</v>
      </c>
      <c r="G125">
        <f t="shared" si="19"/>
        <v>0</v>
      </c>
      <c r="H125">
        <f t="shared" si="19"/>
        <v>0.02</v>
      </c>
    </row>
    <row r="126" spans="1:8">
      <c r="C126" t="str">
        <f t="shared" si="18"/>
        <v>g</v>
      </c>
      <c r="D126" s="1144" t="str">
        <f>CONCATENATE(D34, " (genvindes)")</f>
        <v>Rustfrit stål (genvindes)</v>
      </c>
      <c r="E126">
        <f t="shared" si="20"/>
        <v>4.5999999999999999E-2</v>
      </c>
      <c r="F126">
        <f t="shared" si="19"/>
        <v>1.2E-2</v>
      </c>
      <c r="G126">
        <f t="shared" si="19"/>
        <v>0.04</v>
      </c>
      <c r="H126">
        <f t="shared" si="19"/>
        <v>0</v>
      </c>
    </row>
    <row r="127" spans="1:8">
      <c r="C127" t="str">
        <f t="shared" si="18"/>
        <v>g</v>
      </c>
      <c r="D127" s="1144" t="str">
        <f>CONCATENATE(D35, " (genvindes ikke)")</f>
        <v>Silicium (genvindes ikke)</v>
      </c>
      <c r="E127">
        <f t="shared" si="20"/>
        <v>0.22</v>
      </c>
      <c r="F127">
        <f t="shared" si="19"/>
        <v>0</v>
      </c>
      <c r="G127">
        <f t="shared" si="19"/>
        <v>0</v>
      </c>
      <c r="H127">
        <f t="shared" si="19"/>
        <v>0</v>
      </c>
    </row>
    <row r="128" spans="1:8">
      <c r="C128" t="str">
        <f t="shared" si="18"/>
        <v>g</v>
      </c>
      <c r="D128" s="1144" t="str">
        <f>CONCATENATE(D36, " (genvindes)")</f>
        <v>Støbejern (genvindes)</v>
      </c>
      <c r="E128">
        <f t="shared" si="20"/>
        <v>0.03</v>
      </c>
      <c r="F128">
        <f t="shared" si="19"/>
        <v>1.2999999999999999E-4</v>
      </c>
      <c r="G128">
        <f t="shared" si="19"/>
        <v>0.02</v>
      </c>
      <c r="H128">
        <f t="shared" si="19"/>
        <v>0</v>
      </c>
    </row>
    <row r="129" spans="3:8">
      <c r="C129" t="str">
        <f t="shared" si="18"/>
        <v>g</v>
      </c>
      <c r="D129" s="1144" t="str">
        <f>CONCATENATE(D37, " (genvindes)")</f>
        <v>Stål (genvindes)</v>
      </c>
      <c r="E129">
        <f t="shared" si="20"/>
        <v>0.04</v>
      </c>
      <c r="F129">
        <f t="shared" si="19"/>
        <v>1.2999999999999999E-4</v>
      </c>
      <c r="G129">
        <f t="shared" si="19"/>
        <v>0.02</v>
      </c>
      <c r="H129">
        <f t="shared" si="19"/>
        <v>0</v>
      </c>
    </row>
    <row r="130" spans="3:8">
      <c r="C130" t="str">
        <f t="shared" si="18"/>
        <v>g</v>
      </c>
      <c r="D130" s="1144" t="str">
        <f>CONCATENATE(D38, " (genvindes ikke)")</f>
        <v>Sølv (genvindes ikke)</v>
      </c>
      <c r="E130">
        <f t="shared" si="20"/>
        <v>1.7</v>
      </c>
      <c r="F130">
        <f t="shared" si="19"/>
        <v>19</v>
      </c>
      <c r="G130">
        <f t="shared" si="19"/>
        <v>0.05</v>
      </c>
      <c r="H130">
        <f t="shared" si="19"/>
        <v>0</v>
      </c>
    </row>
    <row r="131" spans="3:8">
      <c r="C131" t="str">
        <f t="shared" si="18"/>
        <v>g</v>
      </c>
      <c r="D131" s="1144" t="str">
        <f>CONCATENATE(D39, " (bortskaffes ved forbrænding)")</f>
        <v>Træ (bortskaffes ved forbrænding)</v>
      </c>
      <c r="E131">
        <f t="shared" si="18"/>
        <v>0.04</v>
      </c>
      <c r="F131">
        <f t="shared" si="19"/>
        <v>0</v>
      </c>
      <c r="G131">
        <f t="shared" si="18"/>
        <v>0</v>
      </c>
      <c r="H131">
        <f t="shared" si="18"/>
        <v>0.02</v>
      </c>
    </row>
    <row r="132" spans="3:8">
      <c r="C132" t="str">
        <f>C40</f>
        <v>g</v>
      </c>
      <c r="D132" s="1144" t="str">
        <f>CONCATENATE(D40, " (genvindes ikke)")</f>
        <v>Zink, Zn (genvindes ikke)</v>
      </c>
      <c r="E132">
        <f>E40</f>
        <v>7.0000000000000007E-2</v>
      </c>
      <c r="F132">
        <f t="shared" ref="F132" si="21">F40</f>
        <v>3.3000000000000002E-2</v>
      </c>
      <c r="G132">
        <f>G40</f>
        <v>0.04</v>
      </c>
      <c r="H132">
        <f>H40</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3"/>
  <sheetViews>
    <sheetView topLeftCell="B145" workbookViewId="0">
      <selection activeCell="B11" sqref="B11"/>
    </sheetView>
  </sheetViews>
  <sheetFormatPr defaultRowHeight="13.2"/>
  <cols>
    <col min="2" max="2" width="19" customWidth="1"/>
    <col min="3" max="3" width="35" bestFit="1" customWidth="1"/>
    <col min="4" max="4" width="12.6640625" customWidth="1"/>
    <col min="5" max="5" width="23.6640625" customWidth="1"/>
    <col min="6" max="6" width="13.44140625" customWidth="1"/>
    <col min="10" max="10" width="26.5546875" customWidth="1"/>
    <col min="11" max="11" width="25" customWidth="1"/>
    <col min="12" max="12" width="11.88671875" customWidth="1"/>
    <col min="13" max="13" width="10.109375" customWidth="1"/>
    <col min="14" max="14" width="14.109375" customWidth="1"/>
  </cols>
  <sheetData>
    <row r="1" spans="1:7">
      <c r="A1" s="44" t="s">
        <v>2527</v>
      </c>
    </row>
    <row r="2" spans="1:7" ht="13.8" thickBot="1">
      <c r="B2" t="s">
        <v>717</v>
      </c>
    </row>
    <row r="3" spans="1:7" ht="26.4">
      <c r="B3" s="79"/>
      <c r="C3" s="80" t="s">
        <v>403</v>
      </c>
      <c r="D3" s="81" t="s">
        <v>508</v>
      </c>
      <c r="E3" s="80" t="s">
        <v>405</v>
      </c>
      <c r="F3" s="82" t="s">
        <v>511</v>
      </c>
    </row>
    <row r="4" spans="1:7">
      <c r="B4" s="83" t="s">
        <v>718</v>
      </c>
      <c r="C4" s="84" t="s">
        <v>312</v>
      </c>
      <c r="D4" s="85" t="s">
        <v>515</v>
      </c>
      <c r="E4" s="84" t="s">
        <v>516</v>
      </c>
      <c r="F4" s="86" t="s">
        <v>517</v>
      </c>
    </row>
    <row r="5" spans="1:7">
      <c r="B5" s="75" t="s">
        <v>505</v>
      </c>
      <c r="C5" s="70" t="s">
        <v>504</v>
      </c>
      <c r="D5" s="70" t="s">
        <v>504</v>
      </c>
      <c r="E5" s="70" t="s">
        <v>504</v>
      </c>
      <c r="F5" s="71" t="s">
        <v>504</v>
      </c>
    </row>
    <row r="6" spans="1:7">
      <c r="B6" s="75" t="s">
        <v>312</v>
      </c>
      <c r="C6" s="87">
        <v>1</v>
      </c>
      <c r="D6" s="87"/>
      <c r="E6" s="87"/>
      <c r="F6" s="88"/>
    </row>
    <row r="7" spans="1:7">
      <c r="B7" s="75" t="s">
        <v>506</v>
      </c>
      <c r="C7" s="87">
        <v>2</v>
      </c>
      <c r="D7" s="87">
        <v>0.04</v>
      </c>
      <c r="E7" s="87"/>
      <c r="F7" s="88"/>
    </row>
    <row r="8" spans="1:7">
      <c r="B8" s="75" t="s">
        <v>507</v>
      </c>
      <c r="C8" s="87">
        <v>3</v>
      </c>
      <c r="D8" s="87">
        <v>0.4</v>
      </c>
      <c r="E8" s="87"/>
      <c r="F8" s="88"/>
      <c r="G8" t="s">
        <v>639</v>
      </c>
    </row>
    <row r="9" spans="1:7">
      <c r="B9" s="75" t="s">
        <v>184</v>
      </c>
      <c r="C9" s="87">
        <v>25</v>
      </c>
      <c r="D9" s="87">
        <v>7.0000000000000001E-3</v>
      </c>
      <c r="E9" s="87"/>
      <c r="F9" s="88"/>
    </row>
    <row r="10" spans="1:7">
      <c r="B10" s="75" t="s">
        <v>509</v>
      </c>
      <c r="C10" s="87"/>
      <c r="D10" s="87"/>
      <c r="E10" s="87">
        <v>0.7</v>
      </c>
      <c r="F10" s="88"/>
    </row>
    <row r="11" spans="1:7">
      <c r="B11" s="75" t="s">
        <v>510</v>
      </c>
      <c r="C11" s="87"/>
      <c r="D11" s="87"/>
      <c r="E11" s="87">
        <v>1</v>
      </c>
      <c r="F11" s="88"/>
    </row>
    <row r="12" spans="1:7" ht="32.25" customHeight="1">
      <c r="B12" s="75" t="s">
        <v>512</v>
      </c>
      <c r="C12" s="87"/>
      <c r="D12" s="87"/>
      <c r="E12" s="87"/>
      <c r="F12" s="88">
        <v>0.3</v>
      </c>
    </row>
    <row r="13" spans="1:7">
      <c r="B13" s="75" t="s">
        <v>513</v>
      </c>
      <c r="C13" s="87"/>
      <c r="D13" s="87"/>
      <c r="E13" s="87"/>
      <c r="F13" s="88">
        <v>1</v>
      </c>
    </row>
    <row r="14" spans="1:7" ht="13.8" thickBot="1">
      <c r="B14" s="76" t="s">
        <v>514</v>
      </c>
      <c r="C14" s="89"/>
      <c r="D14" s="89"/>
      <c r="E14" s="89"/>
      <c r="F14" s="90">
        <v>1</v>
      </c>
    </row>
    <row r="15" spans="1:7" ht="13.8" thickBot="1"/>
    <row r="16" spans="1:7" ht="44.25" customHeight="1" thickBot="1">
      <c r="C16" s="214" t="s">
        <v>1085</v>
      </c>
      <c r="D16" s="950" t="s">
        <v>1086</v>
      </c>
      <c r="E16" s="952" t="s">
        <v>1087</v>
      </c>
      <c r="F16" s="953"/>
    </row>
    <row r="17" spans="3:8" ht="13.8" thickBot="1">
      <c r="C17" s="215"/>
      <c r="D17" s="951"/>
      <c r="E17" s="216" t="s">
        <v>1088</v>
      </c>
      <c r="F17" s="216" t="s">
        <v>1089</v>
      </c>
    </row>
    <row r="18" spans="3:8" ht="13.8" thickBot="1">
      <c r="C18" s="218" t="s">
        <v>1090</v>
      </c>
      <c r="D18" s="216" t="s">
        <v>1091</v>
      </c>
      <c r="E18" s="219">
        <v>86</v>
      </c>
      <c r="F18" s="219">
        <v>34</v>
      </c>
    </row>
    <row r="19" spans="3:8" ht="13.8" thickBot="1">
      <c r="C19" s="217" t="s">
        <v>1092</v>
      </c>
      <c r="D19" s="216" t="s">
        <v>1093</v>
      </c>
      <c r="E19" s="219">
        <v>3790</v>
      </c>
      <c r="F19" s="219">
        <v>1550</v>
      </c>
    </row>
    <row r="20" spans="3:8" ht="13.8" thickBot="1">
      <c r="C20" s="217" t="s">
        <v>1094</v>
      </c>
      <c r="D20" s="216" t="s">
        <v>1095</v>
      </c>
      <c r="E20" s="219">
        <v>7020</v>
      </c>
      <c r="F20" s="219">
        <v>5350</v>
      </c>
    </row>
    <row r="21" spans="3:8" ht="13.8" thickBot="1">
      <c r="C21" s="218" t="s">
        <v>1096</v>
      </c>
      <c r="D21" s="216" t="s">
        <v>1097</v>
      </c>
      <c r="E21" s="219">
        <v>268</v>
      </c>
      <c r="F21" s="219">
        <v>298</v>
      </c>
    </row>
    <row r="22" spans="3:8" ht="13.8" thickBot="1">
      <c r="C22" s="218" t="s">
        <v>1098</v>
      </c>
      <c r="D22" s="216">
        <v>50000</v>
      </c>
      <c r="E22" s="219">
        <v>4950</v>
      </c>
      <c r="F22" s="219">
        <v>7350</v>
      </c>
    </row>
    <row r="27" spans="3:8" ht="24" customHeight="1">
      <c r="C27" s="930" t="s">
        <v>1100</v>
      </c>
      <c r="D27" s="930" t="s">
        <v>1101</v>
      </c>
      <c r="E27" s="930" t="s">
        <v>1086</v>
      </c>
      <c r="F27" s="954" t="s">
        <v>1099</v>
      </c>
      <c r="G27" s="954"/>
      <c r="H27" s="954"/>
    </row>
    <row r="28" spans="3:8">
      <c r="C28" s="929" t="s">
        <v>422</v>
      </c>
      <c r="D28" s="633"/>
      <c r="E28" s="633"/>
      <c r="F28" s="637" t="s">
        <v>1088</v>
      </c>
      <c r="G28" s="634" t="s">
        <v>1089</v>
      </c>
      <c r="H28" s="634" t="s">
        <v>1102</v>
      </c>
    </row>
    <row r="29" spans="3:8" ht="15">
      <c r="C29" s="633" t="s">
        <v>1103</v>
      </c>
      <c r="D29" s="633" t="s">
        <v>1103</v>
      </c>
      <c r="E29" s="633" t="s">
        <v>1104</v>
      </c>
      <c r="F29" s="633">
        <v>1</v>
      </c>
      <c r="G29" s="633">
        <v>1</v>
      </c>
      <c r="H29" s="633">
        <v>1</v>
      </c>
    </row>
    <row r="30" spans="3:8" ht="15">
      <c r="C30" s="633" t="s">
        <v>1105</v>
      </c>
      <c r="D30" s="633" t="s">
        <v>1106</v>
      </c>
      <c r="E30" s="633" t="s">
        <v>1107</v>
      </c>
      <c r="F30" s="633">
        <v>56</v>
      </c>
      <c r="G30" s="633">
        <v>21</v>
      </c>
      <c r="H30" s="635" t="s">
        <v>1108</v>
      </c>
    </row>
    <row r="31" spans="3:8" ht="15">
      <c r="C31" s="633" t="s">
        <v>1096</v>
      </c>
      <c r="D31" s="633" t="s">
        <v>1109</v>
      </c>
      <c r="E31" s="636">
        <v>120</v>
      </c>
      <c r="F31" s="633">
        <v>280</v>
      </c>
      <c r="G31" s="633">
        <v>310</v>
      </c>
      <c r="H31" s="633">
        <v>170</v>
      </c>
    </row>
    <row r="32" spans="3:8">
      <c r="C32" s="633"/>
      <c r="D32" s="633"/>
      <c r="E32" s="633"/>
      <c r="F32" s="633"/>
      <c r="G32" s="633"/>
      <c r="H32" s="633"/>
    </row>
    <row r="33" spans="3:8">
      <c r="C33" s="633" t="s">
        <v>1110</v>
      </c>
      <c r="D33" s="633" t="s">
        <v>1111</v>
      </c>
      <c r="E33" s="636">
        <v>264</v>
      </c>
      <c r="F33" s="633">
        <v>9100</v>
      </c>
      <c r="G33" s="633">
        <v>11700</v>
      </c>
      <c r="H33" s="633">
        <v>9800</v>
      </c>
    </row>
    <row r="34" spans="3:8">
      <c r="C34" s="633" t="s">
        <v>1112</v>
      </c>
      <c r="D34" s="633" t="s">
        <v>1113</v>
      </c>
      <c r="E34" s="633" t="s">
        <v>1114</v>
      </c>
      <c r="F34" s="633">
        <v>2100</v>
      </c>
      <c r="G34" s="633">
        <v>650</v>
      </c>
      <c r="H34" s="633">
        <v>200</v>
      </c>
    </row>
    <row r="35" spans="3:8">
      <c r="C35" s="633" t="s">
        <v>1115</v>
      </c>
      <c r="D35" s="633" t="s">
        <v>1116</v>
      </c>
      <c r="E35" s="633" t="s">
        <v>1117</v>
      </c>
      <c r="F35" s="633">
        <v>490</v>
      </c>
      <c r="G35" s="633">
        <v>150</v>
      </c>
      <c r="H35" s="633">
        <v>45</v>
      </c>
    </row>
    <row r="36" spans="3:8">
      <c r="C36" s="633" t="s">
        <v>1118</v>
      </c>
      <c r="D36" s="633" t="s">
        <v>1119</v>
      </c>
      <c r="E36" s="633" t="s">
        <v>1120</v>
      </c>
      <c r="F36" s="633">
        <v>3000</v>
      </c>
      <c r="G36" s="633">
        <v>1300</v>
      </c>
      <c r="H36" s="633">
        <v>400</v>
      </c>
    </row>
    <row r="37" spans="3:8">
      <c r="C37" s="633" t="s">
        <v>1121</v>
      </c>
      <c r="D37" s="633" t="s">
        <v>1122</v>
      </c>
      <c r="E37" s="633" t="s">
        <v>1123</v>
      </c>
      <c r="F37" s="633">
        <v>4600</v>
      </c>
      <c r="G37" s="633">
        <v>2800</v>
      </c>
      <c r="H37" s="633">
        <v>920</v>
      </c>
    </row>
    <row r="38" spans="3:8">
      <c r="C38" s="633" t="s">
        <v>1124</v>
      </c>
      <c r="D38" s="633" t="s">
        <v>1125</v>
      </c>
      <c r="E38" s="633" t="s">
        <v>1126</v>
      </c>
      <c r="F38" s="633">
        <v>2900</v>
      </c>
      <c r="G38" s="633">
        <v>1000</v>
      </c>
      <c r="H38" s="633">
        <v>310</v>
      </c>
    </row>
    <row r="39" spans="3:8">
      <c r="C39" s="633" t="s">
        <v>1127</v>
      </c>
      <c r="D39" s="633" t="s">
        <v>1128</v>
      </c>
      <c r="E39" s="633" t="s">
        <v>1129</v>
      </c>
      <c r="F39" s="633">
        <v>3400</v>
      </c>
      <c r="G39" s="633">
        <v>1300</v>
      </c>
      <c r="H39" s="633">
        <v>420</v>
      </c>
    </row>
    <row r="40" spans="3:8">
      <c r="C40" s="633" t="s">
        <v>1130</v>
      </c>
      <c r="D40" s="633" t="s">
        <v>1131</v>
      </c>
      <c r="E40" s="633" t="s">
        <v>1132</v>
      </c>
      <c r="F40" s="633">
        <v>460</v>
      </c>
      <c r="G40" s="633">
        <v>140</v>
      </c>
      <c r="H40" s="633">
        <v>42</v>
      </c>
    </row>
    <row r="41" spans="3:8">
      <c r="C41" s="633" t="s">
        <v>1133</v>
      </c>
      <c r="D41" s="633" t="s">
        <v>1134</v>
      </c>
      <c r="E41" s="633" t="s">
        <v>1135</v>
      </c>
      <c r="F41" s="633">
        <v>1000</v>
      </c>
      <c r="G41" s="633">
        <v>300</v>
      </c>
      <c r="H41" s="633">
        <v>94</v>
      </c>
    </row>
    <row r="42" spans="3:8">
      <c r="C42" s="633" t="s">
        <v>1136</v>
      </c>
      <c r="D42" s="633" t="s">
        <v>1134</v>
      </c>
      <c r="E42" s="633" t="s">
        <v>1137</v>
      </c>
      <c r="F42" s="633">
        <v>5000</v>
      </c>
      <c r="G42" s="633">
        <v>3800</v>
      </c>
      <c r="H42" s="633">
        <v>1400</v>
      </c>
    </row>
    <row r="43" spans="3:8">
      <c r="C43" s="633" t="s">
        <v>1138</v>
      </c>
      <c r="D43" s="633" t="s">
        <v>1139</v>
      </c>
      <c r="E43" s="633" t="s">
        <v>1140</v>
      </c>
      <c r="F43" s="633">
        <v>4300</v>
      </c>
      <c r="G43" s="633">
        <v>2900</v>
      </c>
      <c r="H43" s="633">
        <v>950</v>
      </c>
    </row>
    <row r="44" spans="3:8">
      <c r="C44" s="633" t="s">
        <v>1141</v>
      </c>
      <c r="D44" s="633" t="s">
        <v>1142</v>
      </c>
      <c r="E44" s="636">
        <v>209</v>
      </c>
      <c r="F44" s="633">
        <v>5100</v>
      </c>
      <c r="G44" s="633">
        <v>6300</v>
      </c>
      <c r="H44" s="633">
        <v>4700</v>
      </c>
    </row>
    <row r="45" spans="3:8">
      <c r="C45" s="633" t="s">
        <v>1143</v>
      </c>
      <c r="D45" s="633" t="s">
        <v>1144</v>
      </c>
      <c r="E45" s="633" t="s">
        <v>1145</v>
      </c>
      <c r="F45" s="633">
        <v>1800</v>
      </c>
      <c r="G45" s="633">
        <v>560</v>
      </c>
      <c r="H45" s="633">
        <v>170</v>
      </c>
    </row>
    <row r="46" spans="3:8">
      <c r="C46" s="633" t="s">
        <v>1146</v>
      </c>
      <c r="D46" s="633" t="s">
        <v>1147</v>
      </c>
      <c r="E46" s="636">
        <v>3200</v>
      </c>
      <c r="F46" s="633">
        <v>16300</v>
      </c>
      <c r="G46" s="633">
        <v>23900</v>
      </c>
      <c r="H46" s="633">
        <v>34900</v>
      </c>
    </row>
    <row r="47" spans="3:8">
      <c r="C47" s="633" t="s">
        <v>1148</v>
      </c>
      <c r="D47" s="633" t="s">
        <v>1149</v>
      </c>
      <c r="E47" s="636">
        <v>50000</v>
      </c>
      <c r="F47" s="633">
        <v>4400</v>
      </c>
      <c r="G47" s="633">
        <v>6500</v>
      </c>
      <c r="H47" s="633">
        <v>10000</v>
      </c>
    </row>
    <row r="48" spans="3:8">
      <c r="C48" s="633" t="s">
        <v>1150</v>
      </c>
      <c r="D48" s="633" t="s">
        <v>1151</v>
      </c>
      <c r="E48" s="636">
        <v>10000</v>
      </c>
      <c r="F48" s="633">
        <v>6200</v>
      </c>
      <c r="G48" s="633">
        <v>9200</v>
      </c>
      <c r="H48" s="633">
        <v>14000</v>
      </c>
    </row>
    <row r="49" spans="3:8">
      <c r="C49" s="633" t="s">
        <v>1152</v>
      </c>
      <c r="D49" s="633" t="s">
        <v>1153</v>
      </c>
      <c r="E49" s="636">
        <v>2600</v>
      </c>
      <c r="F49" s="633">
        <v>4800</v>
      </c>
      <c r="G49" s="633">
        <v>7000</v>
      </c>
      <c r="H49" s="633">
        <v>10100</v>
      </c>
    </row>
    <row r="50" spans="3:8">
      <c r="C50" s="633" t="s">
        <v>1154</v>
      </c>
      <c r="D50" s="633" t="s">
        <v>1155</v>
      </c>
      <c r="E50" s="636">
        <v>2600</v>
      </c>
      <c r="F50" s="633">
        <v>4800</v>
      </c>
      <c r="G50" s="633">
        <v>7000</v>
      </c>
      <c r="H50" s="633">
        <v>10100</v>
      </c>
    </row>
    <row r="51" spans="3:8">
      <c r="C51" s="633" t="s">
        <v>1156</v>
      </c>
      <c r="D51" s="633" t="s">
        <v>1157</v>
      </c>
      <c r="E51" s="636">
        <v>3200</v>
      </c>
      <c r="F51" s="633">
        <v>6000</v>
      </c>
      <c r="G51" s="633">
        <v>8700</v>
      </c>
      <c r="H51" s="633">
        <v>12700</v>
      </c>
    </row>
    <row r="52" spans="3:8">
      <c r="C52" s="633" t="s">
        <v>1158</v>
      </c>
      <c r="D52" s="633" t="s">
        <v>1159</v>
      </c>
      <c r="E52" s="636">
        <v>4100</v>
      </c>
      <c r="F52" s="633">
        <v>5100</v>
      </c>
      <c r="G52" s="633">
        <v>7500</v>
      </c>
      <c r="H52" s="633">
        <v>11000</v>
      </c>
    </row>
    <row r="53" spans="3:8">
      <c r="C53" s="633" t="s">
        <v>1160</v>
      </c>
      <c r="D53" s="633" t="s">
        <v>1161</v>
      </c>
      <c r="E53" s="636">
        <v>3200</v>
      </c>
      <c r="F53" s="633">
        <v>5000</v>
      </c>
      <c r="G53" s="633">
        <v>7400</v>
      </c>
      <c r="H53" s="633">
        <v>10700</v>
      </c>
    </row>
    <row r="56" spans="3:8" ht="46.2" thickBot="1">
      <c r="C56" s="230" t="s">
        <v>1326</v>
      </c>
      <c r="D56" s="229" t="s">
        <v>1162</v>
      </c>
      <c r="E56" s="227" t="s">
        <v>1325</v>
      </c>
      <c r="F56" s="228" t="s">
        <v>1163</v>
      </c>
    </row>
    <row r="57" spans="3:8" ht="13.8" thickBot="1">
      <c r="C57" s="955"/>
      <c r="D57" s="956"/>
      <c r="E57" s="956"/>
      <c r="F57" s="956"/>
      <c r="G57" s="956"/>
    </row>
    <row r="58" spans="3:8">
      <c r="C58" s="957"/>
      <c r="D58" s="958"/>
      <c r="E58" s="958"/>
      <c r="F58" s="958"/>
      <c r="G58" s="958"/>
    </row>
    <row r="59" spans="3:8">
      <c r="C59" s="221" t="s">
        <v>1164</v>
      </c>
      <c r="D59" s="221" t="s">
        <v>1165</v>
      </c>
      <c r="E59" s="221" t="s">
        <v>312</v>
      </c>
      <c r="F59" s="221">
        <v>1</v>
      </c>
    </row>
    <row r="60" spans="3:8">
      <c r="C60" s="221" t="s">
        <v>1090</v>
      </c>
      <c r="D60" s="221" t="s">
        <v>1165</v>
      </c>
      <c r="E60" s="221" t="s">
        <v>1166</v>
      </c>
      <c r="F60" s="221">
        <v>21</v>
      </c>
    </row>
    <row r="61" spans="3:8">
      <c r="C61" s="221" t="s">
        <v>1096</v>
      </c>
      <c r="D61" s="221" t="s">
        <v>1167</v>
      </c>
      <c r="E61" s="221" t="s">
        <v>1168</v>
      </c>
      <c r="F61" s="221">
        <v>310</v>
      </c>
    </row>
    <row r="62" spans="3:8">
      <c r="C62" s="221" t="s">
        <v>1169</v>
      </c>
      <c r="D62" s="221" t="s">
        <v>1170</v>
      </c>
      <c r="E62" s="221" t="s">
        <v>1171</v>
      </c>
      <c r="F62" s="629">
        <v>4750</v>
      </c>
    </row>
    <row r="63" spans="3:8">
      <c r="C63" s="221" t="s">
        <v>1172</v>
      </c>
      <c r="D63" s="221" t="s">
        <v>1170</v>
      </c>
      <c r="E63" s="221" t="s">
        <v>1173</v>
      </c>
      <c r="F63" s="629">
        <v>10900</v>
      </c>
    </row>
    <row r="64" spans="3:8">
      <c r="C64" s="221" t="s">
        <v>1174</v>
      </c>
      <c r="D64" s="221" t="s">
        <v>1170</v>
      </c>
      <c r="E64" s="221" t="s">
        <v>1175</v>
      </c>
      <c r="F64" s="629">
        <v>14400</v>
      </c>
    </row>
    <row r="65" spans="3:6">
      <c r="C65" s="221" t="s">
        <v>1176</v>
      </c>
      <c r="D65" s="221" t="s">
        <v>1170</v>
      </c>
      <c r="E65" s="221" t="s">
        <v>1177</v>
      </c>
      <c r="F65" s="629">
        <v>6130</v>
      </c>
    </row>
    <row r="66" spans="3:6">
      <c r="C66" s="221" t="s">
        <v>1178</v>
      </c>
      <c r="D66" s="221" t="s">
        <v>1170</v>
      </c>
      <c r="E66" s="221" t="s">
        <v>1179</v>
      </c>
      <c r="F66" s="629">
        <v>10000</v>
      </c>
    </row>
    <row r="67" spans="3:6">
      <c r="C67" s="221" t="s">
        <v>1180</v>
      </c>
      <c r="D67" s="221" t="s">
        <v>1170</v>
      </c>
      <c r="E67" s="221" t="s">
        <v>1181</v>
      </c>
      <c r="F67" s="629">
        <v>7370</v>
      </c>
    </row>
    <row r="68" spans="3:6">
      <c r="C68" s="221" t="s">
        <v>1182</v>
      </c>
      <c r="D68" s="221" t="s">
        <v>1170</v>
      </c>
      <c r="E68" s="221" t="s">
        <v>1183</v>
      </c>
      <c r="F68" s="629">
        <v>7140</v>
      </c>
    </row>
    <row r="69" spans="3:6">
      <c r="C69" s="221" t="s">
        <v>1184</v>
      </c>
      <c r="D69" s="221" t="s">
        <v>1170</v>
      </c>
      <c r="E69" s="221" t="s">
        <v>1185</v>
      </c>
      <c r="F69" s="629">
        <v>1890</v>
      </c>
    </row>
    <row r="70" spans="3:6">
      <c r="C70" s="221" t="s">
        <v>1186</v>
      </c>
      <c r="D70" s="221" t="s">
        <v>1170</v>
      </c>
      <c r="E70" s="221" t="s">
        <v>1187</v>
      </c>
      <c r="F70" s="629">
        <v>1640</v>
      </c>
    </row>
    <row r="71" spans="3:6">
      <c r="C71" s="221" t="s">
        <v>1188</v>
      </c>
      <c r="D71" s="221" t="s">
        <v>1170</v>
      </c>
      <c r="E71" s="221" t="s">
        <v>1189</v>
      </c>
      <c r="F71" s="629">
        <v>1400</v>
      </c>
    </row>
    <row r="72" spans="3:6">
      <c r="C72" s="221" t="s">
        <v>1190</v>
      </c>
      <c r="D72" s="221" t="s">
        <v>1170</v>
      </c>
      <c r="E72" s="221" t="s">
        <v>1191</v>
      </c>
      <c r="F72" s="221">
        <v>5</v>
      </c>
    </row>
    <row r="73" spans="3:6">
      <c r="C73" s="221" t="s">
        <v>1192</v>
      </c>
      <c r="D73" s="221" t="s">
        <v>1170</v>
      </c>
      <c r="E73" s="221" t="s">
        <v>1193</v>
      </c>
      <c r="F73" s="221">
        <v>146</v>
      </c>
    </row>
    <row r="74" spans="3:6">
      <c r="C74" s="221" t="s">
        <v>1194</v>
      </c>
      <c r="D74" s="221" t="s">
        <v>1170</v>
      </c>
      <c r="E74" s="221" t="s">
        <v>1195</v>
      </c>
      <c r="F74" s="629">
        <v>1810</v>
      </c>
    </row>
    <row r="75" spans="3:6">
      <c r="C75" s="221" t="s">
        <v>1196</v>
      </c>
      <c r="D75" s="221" t="s">
        <v>1170</v>
      </c>
      <c r="E75" s="221" t="s">
        <v>1197</v>
      </c>
      <c r="F75" s="221">
        <v>77</v>
      </c>
    </row>
    <row r="76" spans="3:6">
      <c r="C76" s="221" t="s">
        <v>1198</v>
      </c>
      <c r="D76" s="221" t="s">
        <v>1170</v>
      </c>
      <c r="E76" s="221" t="s">
        <v>1199</v>
      </c>
      <c r="F76" s="221">
        <v>609</v>
      </c>
    </row>
    <row r="77" spans="3:6">
      <c r="C77" s="221" t="s">
        <v>1200</v>
      </c>
      <c r="D77" s="221" t="s">
        <v>1170</v>
      </c>
      <c r="E77" s="221" t="s">
        <v>1201</v>
      </c>
      <c r="F77" s="221">
        <v>725</v>
      </c>
    </row>
    <row r="78" spans="3:6">
      <c r="C78" s="221" t="s">
        <v>1202</v>
      </c>
      <c r="D78" s="221" t="s">
        <v>1170</v>
      </c>
      <c r="E78" s="221" t="s">
        <v>1203</v>
      </c>
      <c r="F78" s="629">
        <v>2310</v>
      </c>
    </row>
    <row r="79" spans="3:6">
      <c r="C79" s="221" t="s">
        <v>1204</v>
      </c>
      <c r="D79" s="221" t="s">
        <v>1170</v>
      </c>
      <c r="E79" s="221" t="s">
        <v>1205</v>
      </c>
      <c r="F79" s="221">
        <v>122</v>
      </c>
    </row>
    <row r="80" spans="3:6">
      <c r="C80" s="221" t="s">
        <v>1206</v>
      </c>
      <c r="D80" s="221" t="s">
        <v>1170</v>
      </c>
      <c r="E80" s="221" t="s">
        <v>1207</v>
      </c>
      <c r="F80" s="221">
        <v>595</v>
      </c>
    </row>
    <row r="81" spans="3:6">
      <c r="C81" s="221" t="s">
        <v>1208</v>
      </c>
      <c r="D81" s="221" t="s">
        <v>1165</v>
      </c>
      <c r="E81" s="221" t="s">
        <v>1111</v>
      </c>
      <c r="F81" s="629">
        <v>11700</v>
      </c>
    </row>
    <row r="82" spans="3:6">
      <c r="C82" s="221" t="s">
        <v>1112</v>
      </c>
      <c r="D82" s="221" t="s">
        <v>1167</v>
      </c>
      <c r="E82" s="221" t="s">
        <v>1113</v>
      </c>
      <c r="F82" s="221">
        <v>650</v>
      </c>
    </row>
    <row r="83" spans="3:6">
      <c r="C83" s="221" t="s">
        <v>1121</v>
      </c>
      <c r="D83" s="221" t="s">
        <v>1165</v>
      </c>
      <c r="E83" s="221" t="s">
        <v>1209</v>
      </c>
      <c r="F83" s="629">
        <v>2800</v>
      </c>
    </row>
    <row r="84" spans="3:6">
      <c r="C84" s="222" t="s">
        <v>1127</v>
      </c>
      <c r="D84" s="222" t="s">
        <v>1165</v>
      </c>
      <c r="E84" s="222" t="s">
        <v>1128</v>
      </c>
      <c r="F84" s="630">
        <v>1300</v>
      </c>
    </row>
    <row r="85" spans="3:6">
      <c r="C85" s="221" t="s">
        <v>1136</v>
      </c>
      <c r="D85" s="221" t="s">
        <v>1165</v>
      </c>
      <c r="E85" s="221" t="s">
        <v>1210</v>
      </c>
      <c r="F85" s="629">
        <v>3800</v>
      </c>
    </row>
    <row r="86" spans="3:6">
      <c r="C86" s="221" t="s">
        <v>1130</v>
      </c>
      <c r="D86" s="221" t="s">
        <v>1165</v>
      </c>
      <c r="E86" s="221" t="s">
        <v>1211</v>
      </c>
      <c r="F86" s="221">
        <v>140</v>
      </c>
    </row>
    <row r="87" spans="3:6">
      <c r="C87" s="221" t="s">
        <v>1138</v>
      </c>
      <c r="D87" s="221" t="s">
        <v>1165</v>
      </c>
      <c r="E87" s="221" t="s">
        <v>1212</v>
      </c>
      <c r="F87" s="629">
        <v>2900</v>
      </c>
    </row>
    <row r="88" spans="3:6">
      <c r="C88" s="221" t="s">
        <v>1141</v>
      </c>
      <c r="D88" s="221" t="s">
        <v>1165</v>
      </c>
      <c r="E88" s="221" t="s">
        <v>1213</v>
      </c>
      <c r="F88" s="629">
        <v>6300</v>
      </c>
    </row>
    <row r="89" spans="3:6">
      <c r="C89" s="221" t="s">
        <v>1214</v>
      </c>
      <c r="D89" s="221" t="s">
        <v>1165</v>
      </c>
      <c r="E89" s="221" t="s">
        <v>1215</v>
      </c>
      <c r="F89" s="221">
        <v>1030</v>
      </c>
    </row>
    <row r="90" spans="3:6">
      <c r="C90" s="221" t="s">
        <v>1216</v>
      </c>
      <c r="D90" s="221" t="s">
        <v>1165</v>
      </c>
      <c r="E90" s="221" t="s">
        <v>1217</v>
      </c>
      <c r="F90" s="221">
        <v>794</v>
      </c>
    </row>
    <row r="91" spans="3:6">
      <c r="C91" s="221" t="s">
        <v>1118</v>
      </c>
      <c r="D91" s="221" t="s">
        <v>1165</v>
      </c>
      <c r="E91" s="221" t="s">
        <v>1218</v>
      </c>
      <c r="F91" s="629">
        <v>1300</v>
      </c>
    </row>
    <row r="92" spans="3:6">
      <c r="C92" s="221" t="s">
        <v>1146</v>
      </c>
      <c r="D92" s="221" t="s">
        <v>1165</v>
      </c>
      <c r="E92" s="221" t="s">
        <v>1147</v>
      </c>
      <c r="F92" s="629">
        <v>23900</v>
      </c>
    </row>
    <row r="93" spans="3:6">
      <c r="C93" s="221" t="s">
        <v>1219</v>
      </c>
      <c r="D93" s="221" t="s">
        <v>1165</v>
      </c>
      <c r="E93" s="221" t="s">
        <v>1220</v>
      </c>
      <c r="F93" s="629">
        <v>17200</v>
      </c>
    </row>
    <row r="94" spans="3:6">
      <c r="C94" s="221" t="s">
        <v>1221</v>
      </c>
      <c r="D94" s="221" t="s">
        <v>1165</v>
      </c>
      <c r="E94" s="221" t="s">
        <v>1149</v>
      </c>
      <c r="F94" s="629">
        <v>6500</v>
      </c>
    </row>
    <row r="95" spans="3:6">
      <c r="C95" s="221" t="s">
        <v>1222</v>
      </c>
      <c r="D95" s="221" t="s">
        <v>1165</v>
      </c>
      <c r="E95" s="221" t="s">
        <v>1151</v>
      </c>
      <c r="F95" s="629">
        <v>9200</v>
      </c>
    </row>
    <row r="96" spans="3:6">
      <c r="C96" s="221" t="s">
        <v>1223</v>
      </c>
      <c r="D96" s="221" t="s">
        <v>1165</v>
      </c>
      <c r="E96" s="221" t="s">
        <v>1153</v>
      </c>
      <c r="F96" s="629">
        <v>7000</v>
      </c>
    </row>
    <row r="97" spans="3:6">
      <c r="C97" s="221" t="s">
        <v>1156</v>
      </c>
      <c r="D97" s="221" t="s">
        <v>1165</v>
      </c>
      <c r="E97" s="221" t="s">
        <v>1157</v>
      </c>
      <c r="F97" s="629">
        <v>8700</v>
      </c>
    </row>
    <row r="98" spans="3:6">
      <c r="C98" s="221" t="s">
        <v>1224</v>
      </c>
      <c r="D98" s="221" t="s">
        <v>1165</v>
      </c>
      <c r="E98" s="221" t="s">
        <v>1155</v>
      </c>
      <c r="F98" s="629">
        <v>7000</v>
      </c>
    </row>
    <row r="99" spans="3:6">
      <c r="C99" s="221" t="s">
        <v>1225</v>
      </c>
      <c r="D99" s="221" t="s">
        <v>1165</v>
      </c>
      <c r="E99" s="221" t="s">
        <v>1159</v>
      </c>
      <c r="F99" s="629">
        <v>7500</v>
      </c>
    </row>
    <row r="100" spans="3:6">
      <c r="C100" s="221" t="s">
        <v>1226</v>
      </c>
      <c r="D100" s="221" t="s">
        <v>1165</v>
      </c>
      <c r="E100" s="221" t="s">
        <v>1161</v>
      </c>
      <c r="F100" s="629">
        <v>7400</v>
      </c>
    </row>
    <row r="101" spans="3:6">
      <c r="C101" s="221" t="s">
        <v>1227</v>
      </c>
      <c r="D101" s="221" t="s">
        <v>1165</v>
      </c>
      <c r="E101" s="221" t="s">
        <v>1228</v>
      </c>
      <c r="F101" s="629">
        <v>7500</v>
      </c>
    </row>
    <row r="102" spans="3:6">
      <c r="C102" s="223" t="s">
        <v>1229</v>
      </c>
      <c r="D102" s="223" t="s">
        <v>1165</v>
      </c>
      <c r="E102" s="221" t="s">
        <v>1230</v>
      </c>
      <c r="F102" s="629">
        <v>17700</v>
      </c>
    </row>
    <row r="103" spans="3:6">
      <c r="C103" s="221" t="s">
        <v>1231</v>
      </c>
      <c r="D103" s="221" t="s">
        <v>1165</v>
      </c>
      <c r="E103" s="221" t="s">
        <v>1232</v>
      </c>
      <c r="F103" s="629">
        <v>14900</v>
      </c>
    </row>
    <row r="104" spans="3:6">
      <c r="C104" s="221" t="s">
        <v>1233</v>
      </c>
      <c r="D104" s="221" t="s">
        <v>1165</v>
      </c>
      <c r="E104" s="221" t="s">
        <v>1234</v>
      </c>
      <c r="F104" s="629">
        <v>6320</v>
      </c>
    </row>
    <row r="105" spans="3:6">
      <c r="C105" s="221" t="s">
        <v>1235</v>
      </c>
      <c r="D105" s="221" t="s">
        <v>1165</v>
      </c>
      <c r="E105" s="221" t="s">
        <v>1236</v>
      </c>
      <c r="F105" s="221">
        <v>756</v>
      </c>
    </row>
    <row r="106" spans="3:6">
      <c r="C106" s="221" t="s">
        <v>1237</v>
      </c>
      <c r="D106" s="221" t="s">
        <v>1165</v>
      </c>
      <c r="E106" s="221" t="s">
        <v>1238</v>
      </c>
      <c r="F106" s="221">
        <v>350</v>
      </c>
    </row>
    <row r="107" spans="3:6">
      <c r="C107" s="221" t="s">
        <v>1239</v>
      </c>
      <c r="D107" s="221" t="s">
        <v>1165</v>
      </c>
      <c r="E107" s="221" t="s">
        <v>1240</v>
      </c>
      <c r="F107" s="221">
        <v>708</v>
      </c>
    </row>
    <row r="108" spans="3:6">
      <c r="C108" s="221" t="s">
        <v>1241</v>
      </c>
      <c r="D108" s="221" t="s">
        <v>1165</v>
      </c>
      <c r="E108" s="221" t="s">
        <v>1242</v>
      </c>
      <c r="F108" s="221">
        <v>659</v>
      </c>
    </row>
    <row r="109" spans="3:6">
      <c r="C109" s="221" t="s">
        <v>1243</v>
      </c>
      <c r="D109" s="221" t="s">
        <v>1165</v>
      </c>
      <c r="E109" s="221" t="s">
        <v>1240</v>
      </c>
      <c r="F109" s="221">
        <v>359</v>
      </c>
    </row>
    <row r="110" spans="3:6">
      <c r="C110" s="221" t="s">
        <v>1244</v>
      </c>
      <c r="D110" s="221" t="s">
        <v>1165</v>
      </c>
      <c r="E110" s="221" t="s">
        <v>1245</v>
      </c>
      <c r="F110" s="221">
        <v>575</v>
      </c>
    </row>
    <row r="111" spans="3:6">
      <c r="C111" s="221" t="s">
        <v>1246</v>
      </c>
      <c r="D111" s="221" t="s">
        <v>1165</v>
      </c>
      <c r="E111" s="221" t="s">
        <v>1247</v>
      </c>
      <c r="F111" s="221">
        <v>580</v>
      </c>
    </row>
    <row r="112" spans="3:6">
      <c r="C112" s="220" t="s">
        <v>1248</v>
      </c>
      <c r="D112" s="220" t="s">
        <v>1170</v>
      </c>
      <c r="E112" s="220" t="s">
        <v>1249</v>
      </c>
      <c r="F112" s="220">
        <v>110</v>
      </c>
    </row>
    <row r="113" spans="3:6">
      <c r="C113" s="221" t="s">
        <v>1250</v>
      </c>
      <c r="D113" s="221" t="s">
        <v>1165</v>
      </c>
      <c r="E113" s="221" t="s">
        <v>1251</v>
      </c>
      <c r="F113" s="221">
        <v>297</v>
      </c>
    </row>
    <row r="114" spans="3:6">
      <c r="C114" s="221" t="s">
        <v>1252</v>
      </c>
      <c r="D114" s="221" t="s">
        <v>1165</v>
      </c>
      <c r="E114" s="221" t="s">
        <v>1253</v>
      </c>
      <c r="F114" s="221">
        <v>59</v>
      </c>
    </row>
    <row r="115" spans="3:6">
      <c r="C115" s="221" t="s">
        <v>1254</v>
      </c>
      <c r="D115" s="221" t="s">
        <v>1165</v>
      </c>
      <c r="E115" s="221" t="s">
        <v>1255</v>
      </c>
      <c r="F115" s="629">
        <v>1870</v>
      </c>
    </row>
    <row r="116" spans="3:6">
      <c r="C116" s="221" t="s">
        <v>1256</v>
      </c>
      <c r="D116" s="221" t="s">
        <v>1165</v>
      </c>
      <c r="E116" s="221" t="s">
        <v>1257</v>
      </c>
      <c r="F116" s="629">
        <v>2800</v>
      </c>
    </row>
    <row r="117" spans="3:6">
      <c r="C117" s="221" t="s">
        <v>1258</v>
      </c>
      <c r="D117" s="221" t="s">
        <v>1165</v>
      </c>
      <c r="E117" s="221" t="s">
        <v>1259</v>
      </c>
      <c r="F117" s="629">
        <v>1500</v>
      </c>
    </row>
    <row r="118" spans="3:6">
      <c r="C118" s="221" t="s">
        <v>1260</v>
      </c>
      <c r="D118" s="221" t="s">
        <v>1165</v>
      </c>
      <c r="E118" s="221" t="s">
        <v>1261</v>
      </c>
      <c r="F118" s="629">
        <v>10300</v>
      </c>
    </row>
    <row r="119" spans="3:6">
      <c r="C119" s="221" t="s">
        <v>1262</v>
      </c>
      <c r="D119" s="221" t="s">
        <v>1170</v>
      </c>
      <c r="E119" s="221" t="s">
        <v>1263</v>
      </c>
      <c r="F119" s="629">
        <v>1</v>
      </c>
    </row>
    <row r="120" spans="3:6">
      <c r="C120" s="221" t="s">
        <v>1264</v>
      </c>
      <c r="D120" s="221" t="s">
        <v>1170</v>
      </c>
      <c r="E120" s="221" t="s">
        <v>1265</v>
      </c>
      <c r="F120" s="221">
        <v>8.6999999999999993</v>
      </c>
    </row>
    <row r="121" spans="3:6">
      <c r="C121" s="221" t="s">
        <v>1266</v>
      </c>
      <c r="D121" s="221" t="s">
        <v>1170</v>
      </c>
      <c r="E121" s="221" t="s">
        <v>1267</v>
      </c>
      <c r="F121" s="221">
        <v>13</v>
      </c>
    </row>
    <row r="122" spans="3:6" ht="23.4">
      <c r="C122" s="224" t="s">
        <v>1268</v>
      </c>
      <c r="D122" s="225" t="s">
        <v>1269</v>
      </c>
      <c r="E122" s="221" t="s">
        <v>1270</v>
      </c>
      <c r="F122" s="631">
        <v>1540</v>
      </c>
    </row>
    <row r="123" spans="3:6" ht="23.4">
      <c r="C123" s="224" t="s">
        <v>1271</v>
      </c>
      <c r="D123" s="225" t="s">
        <v>1269</v>
      </c>
      <c r="E123" s="221" t="s">
        <v>1272</v>
      </c>
      <c r="F123" s="632">
        <v>989</v>
      </c>
    </row>
    <row r="124" spans="3:6" ht="23.4">
      <c r="C124" s="224" t="s">
        <v>1273</v>
      </c>
      <c r="D124" s="225" t="s">
        <v>1269</v>
      </c>
      <c r="E124" s="221" t="s">
        <v>1274</v>
      </c>
      <c r="F124" s="632">
        <v>487</v>
      </c>
    </row>
    <row r="125" spans="3:6" ht="23.4">
      <c r="C125" s="225" t="s">
        <v>1275</v>
      </c>
      <c r="D125" s="225" t="s">
        <v>1269</v>
      </c>
      <c r="E125" s="221" t="s">
        <v>1276</v>
      </c>
      <c r="F125" s="632">
        <v>286</v>
      </c>
    </row>
    <row r="126" spans="3:6" ht="23.4">
      <c r="C126" s="224" t="s">
        <v>1277</v>
      </c>
      <c r="D126" s="225" t="s">
        <v>1269</v>
      </c>
      <c r="E126" s="221" t="s">
        <v>1278</v>
      </c>
      <c r="F126" s="632">
        <v>11</v>
      </c>
    </row>
    <row r="127" spans="3:6" ht="23.4">
      <c r="C127" s="225" t="s">
        <v>1279</v>
      </c>
      <c r="D127" s="225" t="s">
        <v>1269</v>
      </c>
      <c r="E127" s="221" t="s">
        <v>1280</v>
      </c>
      <c r="F127" s="632">
        <v>919</v>
      </c>
    </row>
    <row r="128" spans="3:6" ht="23.4">
      <c r="C128" s="224" t="s">
        <v>1281</v>
      </c>
      <c r="D128" s="225" t="s">
        <v>1269</v>
      </c>
      <c r="E128" s="221" t="s">
        <v>1282</v>
      </c>
      <c r="F128" s="632">
        <v>552</v>
      </c>
    </row>
    <row r="129" spans="3:6" ht="23.4">
      <c r="C129" s="225" t="s">
        <v>1283</v>
      </c>
      <c r="D129" s="225" t="s">
        <v>1269</v>
      </c>
      <c r="E129" s="221" t="s">
        <v>1284</v>
      </c>
      <c r="F129" s="632">
        <v>374</v>
      </c>
    </row>
    <row r="130" spans="3:6" ht="23.4">
      <c r="C130" s="225" t="s">
        <v>1285</v>
      </c>
      <c r="D130" s="225" t="s">
        <v>1269</v>
      </c>
      <c r="E130" s="225" t="s">
        <v>1286</v>
      </c>
      <c r="F130" s="225">
        <v>343</v>
      </c>
    </row>
    <row r="131" spans="3:6" ht="23.4">
      <c r="C131" s="225" t="s">
        <v>1287</v>
      </c>
      <c r="D131" s="225" t="s">
        <v>1269</v>
      </c>
      <c r="E131" s="221" t="s">
        <v>1288</v>
      </c>
      <c r="F131" s="632">
        <v>101</v>
      </c>
    </row>
    <row r="132" spans="3:6" ht="23.4">
      <c r="C132" s="225" t="s">
        <v>1289</v>
      </c>
      <c r="D132" s="225" t="s">
        <v>1269</v>
      </c>
      <c r="E132" s="221" t="s">
        <v>1290</v>
      </c>
      <c r="F132" s="632">
        <v>27</v>
      </c>
    </row>
    <row r="133" spans="3:6" ht="23.4">
      <c r="C133" s="225" t="s">
        <v>1291</v>
      </c>
      <c r="D133" s="225" t="s">
        <v>1269</v>
      </c>
      <c r="E133" s="221" t="s">
        <v>1292</v>
      </c>
      <c r="F133" s="632">
        <v>265</v>
      </c>
    </row>
    <row r="134" spans="3:6" ht="23.4">
      <c r="C134" s="225" t="s">
        <v>1293</v>
      </c>
      <c r="D134" s="225" t="s">
        <v>1269</v>
      </c>
      <c r="E134" s="221" t="s">
        <v>1294</v>
      </c>
      <c r="F134" s="632">
        <v>502</v>
      </c>
    </row>
    <row r="135" spans="3:6" ht="23.4">
      <c r="C135" s="225" t="s">
        <v>1295</v>
      </c>
      <c r="D135" s="225" t="s">
        <v>1269</v>
      </c>
      <c r="E135" s="225" t="s">
        <v>1296</v>
      </c>
      <c r="F135" s="225">
        <v>380</v>
      </c>
    </row>
    <row r="136" spans="3:6" ht="23.4">
      <c r="C136" s="224" t="s">
        <v>1297</v>
      </c>
      <c r="D136" s="225" t="s">
        <v>1269</v>
      </c>
      <c r="E136" s="221" t="s">
        <v>1298</v>
      </c>
      <c r="F136" s="632">
        <v>557</v>
      </c>
    </row>
    <row r="137" spans="3:6" ht="23.4">
      <c r="C137" s="225" t="s">
        <v>1250</v>
      </c>
      <c r="D137" s="225" t="s">
        <v>1269</v>
      </c>
      <c r="E137" s="221" t="s">
        <v>1299</v>
      </c>
      <c r="F137" s="632">
        <v>297</v>
      </c>
    </row>
    <row r="138" spans="3:6" ht="23.4">
      <c r="C138" s="225" t="s">
        <v>1252</v>
      </c>
      <c r="D138" s="225" t="s">
        <v>1269</v>
      </c>
      <c r="E138" s="221" t="s">
        <v>1299</v>
      </c>
      <c r="F138" s="632">
        <v>59</v>
      </c>
    </row>
    <row r="139" spans="3:6" ht="23.4">
      <c r="C139" s="225" t="s">
        <v>1300</v>
      </c>
      <c r="D139" s="225" t="s">
        <v>1269</v>
      </c>
      <c r="E139" s="225" t="s">
        <v>1301</v>
      </c>
      <c r="F139" s="221">
        <v>12</v>
      </c>
    </row>
    <row r="140" spans="3:6" ht="23.4">
      <c r="C140" s="225" t="s">
        <v>1302</v>
      </c>
      <c r="D140" s="225" t="s">
        <v>1269</v>
      </c>
      <c r="E140" s="221" t="s">
        <v>1125</v>
      </c>
      <c r="F140" s="226">
        <v>1000</v>
      </c>
    </row>
    <row r="141" spans="3:6" ht="23.4">
      <c r="C141" s="225" t="s">
        <v>1303</v>
      </c>
      <c r="D141" s="225" t="s">
        <v>1269</v>
      </c>
      <c r="E141" s="225" t="s">
        <v>1304</v>
      </c>
      <c r="F141" s="225">
        <v>11</v>
      </c>
    </row>
    <row r="142" spans="3:6" ht="23.4">
      <c r="C142" s="225" t="s">
        <v>1305</v>
      </c>
      <c r="D142" s="225" t="s">
        <v>1269</v>
      </c>
      <c r="E142" s="225" t="s">
        <v>1306</v>
      </c>
      <c r="F142" s="225">
        <v>42</v>
      </c>
    </row>
    <row r="143" spans="3:6" ht="23.4">
      <c r="C143" s="225" t="s">
        <v>1307</v>
      </c>
      <c r="D143" s="225" t="s">
        <v>1269</v>
      </c>
      <c r="E143" s="221" t="s">
        <v>1134</v>
      </c>
      <c r="F143" s="221">
        <v>300</v>
      </c>
    </row>
    <row r="144" spans="3:6" ht="23.4">
      <c r="C144" s="225" t="s">
        <v>1308</v>
      </c>
      <c r="D144" s="225" t="s">
        <v>1269</v>
      </c>
      <c r="E144" s="225" t="s">
        <v>1309</v>
      </c>
      <c r="F144" s="226">
        <v>1370</v>
      </c>
    </row>
    <row r="145" spans="3:6" ht="23.4">
      <c r="C145" s="225" t="s">
        <v>1310</v>
      </c>
      <c r="D145" s="225" t="s">
        <v>1269</v>
      </c>
      <c r="E145" s="221" t="s">
        <v>1116</v>
      </c>
      <c r="F145" s="221">
        <v>150</v>
      </c>
    </row>
    <row r="146" spans="3:6" ht="23.4">
      <c r="C146" s="226" t="s">
        <v>1311</v>
      </c>
      <c r="D146" s="225" t="s">
        <v>1269</v>
      </c>
      <c r="E146" s="221" t="s">
        <v>1312</v>
      </c>
      <c r="F146" s="221">
        <v>53</v>
      </c>
    </row>
    <row r="147" spans="3:6" ht="23.4">
      <c r="C147" s="225" t="s">
        <v>1313</v>
      </c>
      <c r="D147" s="225" t="s">
        <v>1269</v>
      </c>
      <c r="E147" s="225" t="s">
        <v>1314</v>
      </c>
      <c r="F147" s="226">
        <v>1340</v>
      </c>
    </row>
    <row r="148" spans="3:6" ht="23.4">
      <c r="C148" s="225" t="s">
        <v>1315</v>
      </c>
      <c r="D148" s="225" t="s">
        <v>1269</v>
      </c>
      <c r="E148" s="225" t="s">
        <v>1144</v>
      </c>
      <c r="F148" s="225">
        <v>560</v>
      </c>
    </row>
    <row r="149" spans="3:6" ht="23.4">
      <c r="C149" s="225" t="s">
        <v>1316</v>
      </c>
      <c r="D149" s="225" t="s">
        <v>1269</v>
      </c>
      <c r="E149" s="225" t="s">
        <v>1317</v>
      </c>
      <c r="F149" s="225">
        <v>195</v>
      </c>
    </row>
    <row r="150" spans="3:6" ht="23.4">
      <c r="C150" s="225" t="s">
        <v>1318</v>
      </c>
      <c r="D150" s="225" t="s">
        <v>1269</v>
      </c>
      <c r="E150" s="225" t="s">
        <v>1319</v>
      </c>
      <c r="F150" s="226">
        <v>17340</v>
      </c>
    </row>
    <row r="151" spans="3:6" ht="23.4">
      <c r="C151" s="225" t="s">
        <v>1320</v>
      </c>
      <c r="D151" s="225" t="s">
        <v>1269</v>
      </c>
      <c r="E151" s="225" t="s">
        <v>1321</v>
      </c>
      <c r="F151" s="225">
        <v>345</v>
      </c>
    </row>
    <row r="152" spans="3:6" ht="23.4">
      <c r="C152" s="225" t="s">
        <v>1322</v>
      </c>
      <c r="D152" s="225" t="s">
        <v>1269</v>
      </c>
      <c r="E152" s="225" t="s">
        <v>1249</v>
      </c>
      <c r="F152" s="225">
        <v>110</v>
      </c>
    </row>
    <row r="153" spans="3:6" ht="23.4">
      <c r="C153" s="225" t="s">
        <v>1323</v>
      </c>
      <c r="D153" s="225" t="s">
        <v>1269</v>
      </c>
      <c r="E153" s="225" t="s">
        <v>1324</v>
      </c>
      <c r="F153" s="225">
        <v>73</v>
      </c>
    </row>
  </sheetData>
  <mergeCells count="5">
    <mergeCell ref="D16:D17"/>
    <mergeCell ref="E16:F16"/>
    <mergeCell ref="F27:H27"/>
    <mergeCell ref="C57:G57"/>
    <mergeCell ref="C58:G58"/>
  </mergeCells>
  <phoneticPr fontId="2" type="noConversion"/>
  <hyperlinks>
    <hyperlink ref="C18" r:id="rId1" tooltip="Methane" display="http://en.wikipedia.org/wiki/Methane" xr:uid="{00000000-0004-0000-0300-000000000000}"/>
    <hyperlink ref="C21" r:id="rId2" tooltip="Nitrous oxide" display="http://en.wikipedia.org/wiki/Nitrous_oxide" xr:uid="{00000000-0004-0000-0300-000001000000}"/>
    <hyperlink ref="C22" r:id="rId3" tooltip="Carbon tetrafluoride" display="http://en.wikipedia.org/wiki/Carbon_tetrafluoride" xr:uid="{00000000-0004-0000-0300-000002000000}"/>
    <hyperlink ref="A1" location="'About og Fane-Link'!A1" display="Til Forsiden" xr:uid="{00000000-0004-0000-0300-000003000000}"/>
    <hyperlink ref="C28" r:id="rId4" xr:uid="{00000000-0004-0000-0300-000004000000}"/>
  </hyperlinks>
  <pageMargins left="0.75" right="0.75" top="1" bottom="1" header="0" footer="0"/>
  <pageSetup paperSize="9" orientation="portrait" r:id="rId5"/>
  <headerFooter alignWithMargins="0"/>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9"/>
  <sheetViews>
    <sheetView workbookViewId="0">
      <selection activeCell="B3" sqref="B3"/>
    </sheetView>
  </sheetViews>
  <sheetFormatPr defaultRowHeight="13.2"/>
  <cols>
    <col min="1" max="1" width="57.5546875" bestFit="1" customWidth="1"/>
    <col min="6" max="6" width="13.5546875" bestFit="1" customWidth="1"/>
  </cols>
  <sheetData>
    <row r="1" spans="1:11">
      <c r="A1" s="44" t="s">
        <v>2527</v>
      </c>
    </row>
    <row r="2" spans="1:11" ht="15.6">
      <c r="A2" s="123" t="s">
        <v>783</v>
      </c>
    </row>
    <row r="3" spans="1:11" ht="110.4">
      <c r="A3" s="124"/>
      <c r="B3" s="125" t="s">
        <v>784</v>
      </c>
      <c r="C3" s="125" t="s">
        <v>785</v>
      </c>
      <c r="D3" s="125" t="s">
        <v>786</v>
      </c>
      <c r="E3" s="125" t="s">
        <v>787</v>
      </c>
      <c r="F3" s="125" t="s">
        <v>788</v>
      </c>
      <c r="G3" s="125" t="s">
        <v>789</v>
      </c>
      <c r="H3" s="125" t="s">
        <v>790</v>
      </c>
      <c r="I3" s="125" t="s">
        <v>791</v>
      </c>
      <c r="J3" s="125" t="s">
        <v>792</v>
      </c>
      <c r="K3" s="126" t="s">
        <v>793</v>
      </c>
    </row>
    <row r="4" spans="1:11">
      <c r="A4" s="124" t="s">
        <v>10</v>
      </c>
      <c r="B4" s="124">
        <v>0.17</v>
      </c>
      <c r="C4" s="124">
        <v>0.03</v>
      </c>
      <c r="D4" s="124">
        <v>0</v>
      </c>
      <c r="E4" s="124">
        <v>1.5E-3</v>
      </c>
      <c r="F4" s="127" t="s">
        <v>519</v>
      </c>
      <c r="G4" s="124">
        <v>1</v>
      </c>
      <c r="H4" s="124">
        <v>0.9</v>
      </c>
      <c r="I4" s="124">
        <v>0</v>
      </c>
      <c r="J4" s="124"/>
      <c r="K4" s="124"/>
    </row>
    <row r="5" spans="1:11">
      <c r="A5" s="124" t="s">
        <v>794</v>
      </c>
      <c r="B5" s="124">
        <v>0.08</v>
      </c>
      <c r="C5" s="124">
        <v>0.05</v>
      </c>
      <c r="D5" s="124">
        <v>0</v>
      </c>
      <c r="E5" s="124">
        <v>2.3E-2</v>
      </c>
      <c r="F5" s="127" t="s">
        <v>519</v>
      </c>
      <c r="G5" s="124">
        <v>0.98</v>
      </c>
      <c r="H5" s="124">
        <v>0.8</v>
      </c>
      <c r="I5" s="124">
        <v>0</v>
      </c>
      <c r="J5" s="124"/>
      <c r="K5" s="124"/>
    </row>
    <row r="6" spans="1:11">
      <c r="A6" s="124" t="s">
        <v>795</v>
      </c>
      <c r="B6" s="124">
        <v>0.04</v>
      </c>
      <c r="C6" s="124">
        <v>0</v>
      </c>
      <c r="D6" s="124">
        <v>0.02</v>
      </c>
      <c r="E6" s="124">
        <v>0</v>
      </c>
      <c r="F6" s="127" t="s">
        <v>519</v>
      </c>
      <c r="G6" s="124">
        <v>1</v>
      </c>
      <c r="H6" s="124">
        <v>0</v>
      </c>
      <c r="I6" s="124">
        <v>0.8</v>
      </c>
      <c r="J6" s="124"/>
      <c r="K6" s="124"/>
    </row>
    <row r="7" spans="1:11">
      <c r="A7" s="124" t="s">
        <v>796</v>
      </c>
      <c r="B7" s="124">
        <v>0.03</v>
      </c>
      <c r="C7" s="124">
        <v>0.02</v>
      </c>
      <c r="D7" s="124">
        <v>0</v>
      </c>
      <c r="E7" s="124">
        <v>1.2999999999999999E-4</v>
      </c>
      <c r="F7" s="127" t="s">
        <v>519</v>
      </c>
      <c r="G7" s="124">
        <v>0.98</v>
      </c>
      <c r="H7" s="124">
        <v>0.8</v>
      </c>
      <c r="I7" s="124">
        <v>0</v>
      </c>
      <c r="J7" s="124"/>
      <c r="K7" s="124"/>
    </row>
    <row r="8" spans="1:11">
      <c r="A8" s="124" t="s">
        <v>797</v>
      </c>
      <c r="B8" s="124">
        <v>0.09</v>
      </c>
      <c r="C8" s="124">
        <v>0.05</v>
      </c>
      <c r="D8" s="124">
        <v>0</v>
      </c>
      <c r="E8" s="124">
        <v>1.7000000000000001E-2</v>
      </c>
      <c r="F8" s="127" t="s">
        <v>519</v>
      </c>
      <c r="G8" s="124">
        <v>0.99</v>
      </c>
      <c r="H8" s="124">
        <v>0.8</v>
      </c>
      <c r="I8" s="124">
        <v>0</v>
      </c>
      <c r="J8" s="124"/>
      <c r="K8" s="124"/>
    </row>
    <row r="9" spans="1:11">
      <c r="A9" s="124" t="s">
        <v>798</v>
      </c>
      <c r="B9" s="124">
        <v>0.09</v>
      </c>
      <c r="C9" s="124">
        <v>0.05</v>
      </c>
      <c r="D9" s="124">
        <v>0</v>
      </c>
      <c r="E9" s="124">
        <v>1.7000000000000001E-2</v>
      </c>
      <c r="F9" s="127" t="s">
        <v>519</v>
      </c>
      <c r="G9" s="124">
        <v>0.28999999999999998</v>
      </c>
      <c r="H9" s="124">
        <v>0.8</v>
      </c>
      <c r="I9" s="124">
        <v>0</v>
      </c>
      <c r="J9" s="124"/>
      <c r="K9" s="124"/>
    </row>
    <row r="10" spans="1:11">
      <c r="A10" s="124" t="s">
        <v>799</v>
      </c>
      <c r="B10" s="124">
        <v>0.04</v>
      </c>
      <c r="C10" s="124">
        <v>0.02</v>
      </c>
      <c r="D10" s="124">
        <v>0</v>
      </c>
      <c r="E10" s="124">
        <v>1.2999999999999999E-4</v>
      </c>
      <c r="F10" s="127" t="s">
        <v>519</v>
      </c>
      <c r="G10" s="124">
        <v>0.98</v>
      </c>
      <c r="H10" s="124">
        <v>0.8</v>
      </c>
      <c r="I10" s="124">
        <v>0</v>
      </c>
      <c r="J10" s="124"/>
      <c r="K10" s="124"/>
    </row>
    <row r="11" spans="1:11">
      <c r="A11" s="124" t="s">
        <v>800</v>
      </c>
      <c r="B11" s="124">
        <v>0.01</v>
      </c>
      <c r="C11" s="124">
        <v>7.0000000000000001E-3</v>
      </c>
      <c r="D11" s="124">
        <v>0</v>
      </c>
      <c r="E11" s="124">
        <v>0</v>
      </c>
      <c r="F11" s="127" t="s">
        <v>519</v>
      </c>
      <c r="G11" s="124">
        <v>0</v>
      </c>
      <c r="H11" s="124">
        <v>0.8</v>
      </c>
      <c r="I11" s="124">
        <v>0</v>
      </c>
      <c r="J11" s="124"/>
      <c r="K11" s="124"/>
    </row>
    <row r="12" spans="1:11">
      <c r="A12" s="124" t="s">
        <v>801</v>
      </c>
      <c r="B12" s="124">
        <v>0.03</v>
      </c>
      <c r="C12" s="124">
        <v>0.02</v>
      </c>
      <c r="D12" s="124">
        <v>0</v>
      </c>
      <c r="E12" s="124">
        <v>7.4999999999999997E-2</v>
      </c>
      <c r="F12" s="127" t="s">
        <v>519</v>
      </c>
      <c r="G12" s="124">
        <v>0.85</v>
      </c>
      <c r="H12" s="124">
        <v>0.8</v>
      </c>
      <c r="I12" s="124">
        <v>0</v>
      </c>
      <c r="J12" s="124"/>
      <c r="K12" s="124"/>
    </row>
    <row r="13" spans="1:11">
      <c r="A13" s="124" t="s">
        <v>802</v>
      </c>
      <c r="B13" s="124">
        <v>0.19</v>
      </c>
      <c r="C13" s="124">
        <v>0.04</v>
      </c>
      <c r="D13" s="124">
        <v>0</v>
      </c>
      <c r="E13" s="124">
        <v>0.106</v>
      </c>
      <c r="F13" s="127" t="s">
        <v>519</v>
      </c>
      <c r="G13" s="124">
        <v>0.85</v>
      </c>
      <c r="H13" s="124">
        <v>0.8</v>
      </c>
      <c r="I13" s="124">
        <v>0</v>
      </c>
      <c r="J13" s="124"/>
      <c r="K13" s="124"/>
    </row>
    <row r="14" spans="1:11">
      <c r="A14" s="124" t="s">
        <v>803</v>
      </c>
      <c r="B14" s="124">
        <v>0.115</v>
      </c>
      <c r="C14" s="124">
        <v>0</v>
      </c>
      <c r="D14" s="124">
        <v>0.03</v>
      </c>
      <c r="E14" s="124">
        <v>4.0000000000000003E-5</v>
      </c>
      <c r="F14" s="127" t="s">
        <v>519</v>
      </c>
      <c r="G14" s="124">
        <v>0.98</v>
      </c>
      <c r="H14" s="124">
        <v>0</v>
      </c>
      <c r="I14" s="124">
        <v>0.8</v>
      </c>
      <c r="J14" s="124"/>
      <c r="K14" s="124"/>
    </row>
    <row r="15" spans="1:11">
      <c r="A15" s="124" t="s">
        <v>804</v>
      </c>
      <c r="B15" s="124">
        <v>3.5000000000000003E-2</v>
      </c>
      <c r="C15" s="124">
        <v>0</v>
      </c>
      <c r="D15" s="124">
        <v>4.5999999999999999E-2</v>
      </c>
      <c r="E15" s="124">
        <v>4.0000000000000003E-5</v>
      </c>
      <c r="F15" s="127" t="s">
        <v>519</v>
      </c>
      <c r="G15" s="124">
        <v>0.98</v>
      </c>
      <c r="H15" s="124">
        <v>0</v>
      </c>
      <c r="I15" s="124">
        <v>0.8</v>
      </c>
      <c r="J15" s="124"/>
      <c r="K15" s="124"/>
    </row>
    <row r="16" spans="1:11">
      <c r="A16" s="124" t="s">
        <v>805</v>
      </c>
      <c r="B16" s="124">
        <v>6.5000000000000002E-2</v>
      </c>
      <c r="C16" s="124">
        <v>0</v>
      </c>
      <c r="D16" s="124">
        <v>0.02</v>
      </c>
      <c r="E16" s="124">
        <v>2.0000000000000002E-5</v>
      </c>
      <c r="F16" s="127" t="s">
        <v>519</v>
      </c>
      <c r="G16" s="124">
        <v>0.98</v>
      </c>
      <c r="H16" s="124">
        <v>0</v>
      </c>
      <c r="I16" s="124">
        <v>0.8</v>
      </c>
      <c r="J16" s="124"/>
      <c r="K16" s="124"/>
    </row>
    <row r="17" spans="1:11">
      <c r="A17" s="128" t="s">
        <v>806</v>
      </c>
      <c r="B17" s="124">
        <v>0.1</v>
      </c>
      <c r="C17" s="124">
        <v>0</v>
      </c>
      <c r="D17" s="124">
        <v>0.04</v>
      </c>
      <c r="E17" s="124">
        <v>4.0000000000000003E-5</v>
      </c>
      <c r="F17" s="127" t="s">
        <v>519</v>
      </c>
      <c r="G17" s="124">
        <v>0.98</v>
      </c>
      <c r="H17" s="124">
        <v>0</v>
      </c>
      <c r="I17" s="124">
        <v>0.8</v>
      </c>
      <c r="J17" s="124"/>
      <c r="K17" s="124"/>
    </row>
    <row r="18" spans="1:11">
      <c r="A18" s="124" t="s">
        <v>807</v>
      </c>
      <c r="B18" s="124">
        <v>0.22</v>
      </c>
      <c r="C18" s="124">
        <v>0</v>
      </c>
      <c r="D18" s="124">
        <v>0</v>
      </c>
      <c r="E18" s="124">
        <v>0</v>
      </c>
      <c r="F18" s="127" t="s">
        <v>519</v>
      </c>
      <c r="G18" s="124">
        <v>0</v>
      </c>
      <c r="H18" s="124">
        <v>0.8</v>
      </c>
      <c r="I18" s="124">
        <v>0</v>
      </c>
      <c r="J18" s="124"/>
      <c r="K18" s="124"/>
    </row>
    <row r="19" spans="1:11">
      <c r="A19" s="124" t="s">
        <v>808</v>
      </c>
      <c r="B19" s="124">
        <v>4.5999999999999999E-2</v>
      </c>
      <c r="C19" s="124">
        <v>0.04</v>
      </c>
      <c r="D19" s="124">
        <v>0</v>
      </c>
      <c r="E19" s="124">
        <v>1.2E-2</v>
      </c>
      <c r="F19" s="127" t="s">
        <v>519</v>
      </c>
      <c r="G19" s="124">
        <v>0.98</v>
      </c>
      <c r="H19" s="124">
        <v>0.9</v>
      </c>
      <c r="I19" s="124">
        <v>0</v>
      </c>
      <c r="J19" s="124"/>
      <c r="K19" s="124"/>
    </row>
    <row r="20" spans="1:11">
      <c r="A20" s="124" t="s">
        <v>809</v>
      </c>
      <c r="B20" s="124">
        <v>0.04</v>
      </c>
      <c r="C20" s="124">
        <v>0.02</v>
      </c>
      <c r="D20" s="124">
        <v>0</v>
      </c>
      <c r="E20" s="124">
        <v>1.2999999999999999E-4</v>
      </c>
      <c r="F20" s="127" t="s">
        <v>519</v>
      </c>
      <c r="G20" s="124">
        <v>0.99</v>
      </c>
      <c r="H20" s="124">
        <v>0.8</v>
      </c>
      <c r="I20" s="124">
        <v>0</v>
      </c>
      <c r="J20" s="124"/>
      <c r="K20" s="124"/>
    </row>
    <row r="21" spans="1:11">
      <c r="A21" s="124" t="s">
        <v>16</v>
      </c>
      <c r="B21" s="124">
        <v>0.19</v>
      </c>
      <c r="C21" s="124">
        <v>0.02</v>
      </c>
      <c r="D21" s="124">
        <v>0</v>
      </c>
      <c r="E21" s="124">
        <v>0.92500000000000004</v>
      </c>
      <c r="F21" s="127" t="s">
        <v>519</v>
      </c>
      <c r="G21" s="124">
        <v>0</v>
      </c>
      <c r="H21" s="124">
        <v>0.8</v>
      </c>
      <c r="I21" s="124">
        <v>0</v>
      </c>
      <c r="J21" s="124"/>
      <c r="K21" s="124"/>
    </row>
    <row r="22" spans="1:11">
      <c r="A22" s="124" t="s">
        <v>810</v>
      </c>
      <c r="B22" s="124">
        <v>0.13</v>
      </c>
      <c r="C22" s="124">
        <v>0.02</v>
      </c>
      <c r="D22" s="124">
        <v>0</v>
      </c>
      <c r="E22" s="124">
        <v>0.58499999999999996</v>
      </c>
      <c r="F22" s="127" t="s">
        <v>519</v>
      </c>
      <c r="G22" s="124">
        <v>0.5</v>
      </c>
      <c r="H22" s="124">
        <v>0.8</v>
      </c>
      <c r="I22" s="124">
        <v>0</v>
      </c>
      <c r="J22" s="124"/>
      <c r="K22" s="124"/>
    </row>
    <row r="23" spans="1:11">
      <c r="A23" s="124" t="s">
        <v>811</v>
      </c>
      <c r="B23" s="124">
        <v>7.0000000000000007E-2</v>
      </c>
      <c r="C23" s="124">
        <v>0.04</v>
      </c>
      <c r="D23" s="124">
        <v>0</v>
      </c>
      <c r="E23" s="124">
        <v>3.3000000000000002E-2</v>
      </c>
      <c r="F23" s="127" t="s">
        <v>519</v>
      </c>
      <c r="G23" s="124">
        <v>0.95</v>
      </c>
      <c r="H23" s="124">
        <v>0.8</v>
      </c>
      <c r="I23" s="124">
        <v>0</v>
      </c>
      <c r="J23" s="124"/>
      <c r="K23" s="124"/>
    </row>
    <row r="24" spans="1:11">
      <c r="A24" s="124" t="s">
        <v>812</v>
      </c>
      <c r="B24" s="124">
        <v>7.0000000000000007E-2</v>
      </c>
      <c r="C24" s="124">
        <v>0.04</v>
      </c>
      <c r="D24" s="124">
        <v>0</v>
      </c>
      <c r="E24" s="124">
        <v>3.3000000000000002E-2</v>
      </c>
      <c r="F24" s="127" t="s">
        <v>519</v>
      </c>
      <c r="G24" s="129">
        <v>0</v>
      </c>
      <c r="H24" s="129">
        <v>0.8</v>
      </c>
      <c r="I24" s="129">
        <v>0</v>
      </c>
      <c r="J24" s="124"/>
      <c r="K24" s="124"/>
    </row>
    <row r="25" spans="1:11">
      <c r="A25" s="130" t="s">
        <v>813</v>
      </c>
      <c r="B25" s="131">
        <v>0.25</v>
      </c>
      <c r="C25" s="124"/>
      <c r="D25" s="124"/>
      <c r="E25" s="131">
        <v>0.37</v>
      </c>
      <c r="F25" s="132" t="s">
        <v>519</v>
      </c>
      <c r="G25" s="124">
        <v>0.67</v>
      </c>
      <c r="H25" s="124">
        <v>0.8</v>
      </c>
      <c r="I25" s="124">
        <v>0</v>
      </c>
      <c r="J25" s="133">
        <v>2.1999999999999999E-2</v>
      </c>
      <c r="K25" s="133">
        <v>9.1999999999999998E-3</v>
      </c>
    </row>
    <row r="26" spans="1:11">
      <c r="A26" s="130" t="s">
        <v>814</v>
      </c>
      <c r="B26" s="131">
        <v>14</v>
      </c>
      <c r="C26" s="124"/>
      <c r="D26" s="124"/>
      <c r="E26" s="131">
        <v>0.31</v>
      </c>
      <c r="F26" s="132" t="s">
        <v>519</v>
      </c>
      <c r="G26" s="129">
        <v>0.99</v>
      </c>
      <c r="H26" s="129">
        <v>0.8</v>
      </c>
      <c r="I26" s="129">
        <v>0</v>
      </c>
      <c r="J26" s="133">
        <v>7.7999999999999996E-3</v>
      </c>
      <c r="K26" s="133">
        <v>0.44340000000000002</v>
      </c>
    </row>
    <row r="27" spans="1:11">
      <c r="A27" s="130" t="s">
        <v>815</v>
      </c>
      <c r="B27" s="131">
        <v>4.2</v>
      </c>
      <c r="C27" s="124"/>
      <c r="D27" s="124"/>
      <c r="E27" s="131">
        <v>0.06</v>
      </c>
      <c r="F27" s="132" t="s">
        <v>519</v>
      </c>
      <c r="G27" s="129">
        <v>0.85</v>
      </c>
      <c r="H27" s="129">
        <v>0.8</v>
      </c>
      <c r="I27" s="129">
        <v>0</v>
      </c>
      <c r="J27" s="133">
        <v>3.3999999999999998E-3</v>
      </c>
      <c r="K27" s="133">
        <v>0.17730000000000001</v>
      </c>
    </row>
    <row r="28" spans="1:11">
      <c r="A28" s="130" t="s">
        <v>816</v>
      </c>
      <c r="B28" s="130">
        <v>1</v>
      </c>
      <c r="C28" s="124"/>
      <c r="D28" s="124"/>
      <c r="E28" s="130">
        <v>0.89</v>
      </c>
      <c r="F28" s="132" t="s">
        <v>519</v>
      </c>
      <c r="G28" s="129">
        <v>0.85</v>
      </c>
      <c r="H28" s="129">
        <v>0.8</v>
      </c>
      <c r="I28" s="129">
        <v>0</v>
      </c>
      <c r="J28" s="133">
        <v>6.7900000000000002E-2</v>
      </c>
      <c r="K28" s="133">
        <v>0.2782</v>
      </c>
    </row>
    <row r="29" spans="1:11">
      <c r="A29" s="130" t="s">
        <v>817</v>
      </c>
      <c r="B29" s="130">
        <v>0.65</v>
      </c>
      <c r="C29" s="124"/>
      <c r="D29" s="124"/>
      <c r="E29" s="130">
        <v>0.09</v>
      </c>
      <c r="F29" s="132" t="s">
        <v>519</v>
      </c>
      <c r="G29" s="129"/>
      <c r="H29" s="129"/>
      <c r="I29" s="129"/>
      <c r="J29" s="133">
        <v>3.4799999999999998E-2</v>
      </c>
      <c r="K29" s="133">
        <v>0.31730000000000003</v>
      </c>
    </row>
    <row r="30" spans="1:11">
      <c r="A30" s="130" t="s">
        <v>818</v>
      </c>
      <c r="B30" s="130">
        <v>2.79</v>
      </c>
      <c r="C30" s="124"/>
      <c r="D30" s="124"/>
      <c r="E30" s="130">
        <v>0.94</v>
      </c>
      <c r="F30" s="132" t="s">
        <v>519</v>
      </c>
      <c r="G30" s="129"/>
      <c r="H30" s="129"/>
      <c r="I30" s="129"/>
      <c r="J30" s="133">
        <v>2.1000000000000001E-2</v>
      </c>
      <c r="K30" s="133">
        <v>9.9000000000000005E-2</v>
      </c>
    </row>
    <row r="31" spans="1:11">
      <c r="A31" s="130" t="s">
        <v>819</v>
      </c>
      <c r="B31" s="130">
        <v>1.9599999999999999E-2</v>
      </c>
      <c r="C31" s="124"/>
      <c r="D31" s="124"/>
      <c r="E31" s="130">
        <v>6.62E-3</v>
      </c>
      <c r="F31" s="132" t="s">
        <v>820</v>
      </c>
      <c r="G31" s="129"/>
      <c r="H31" s="129"/>
      <c r="I31" s="129"/>
      <c r="J31" s="133">
        <v>2.1000000000000001E-2</v>
      </c>
      <c r="K31" s="133">
        <v>9.9000000000000005E-2</v>
      </c>
    </row>
    <row r="32" spans="1:11">
      <c r="A32" s="130" t="s">
        <v>821</v>
      </c>
      <c r="B32" s="130">
        <v>0.54</v>
      </c>
      <c r="C32" s="124"/>
      <c r="D32" s="124"/>
      <c r="E32" s="130">
        <v>0.17</v>
      </c>
      <c r="F32" s="132" t="s">
        <v>519</v>
      </c>
      <c r="G32" s="129"/>
      <c r="H32" s="129"/>
      <c r="I32" s="129"/>
      <c r="J32" s="133">
        <v>0</v>
      </c>
      <c r="K32" s="133">
        <v>0</v>
      </c>
    </row>
    <row r="33" spans="1:11">
      <c r="A33" s="134" t="s">
        <v>822</v>
      </c>
      <c r="B33" s="135">
        <v>11.3</v>
      </c>
      <c r="C33" s="124">
        <v>0</v>
      </c>
      <c r="D33" s="124">
        <v>0</v>
      </c>
      <c r="E33" s="136">
        <v>0</v>
      </c>
      <c r="F33" s="137" t="s">
        <v>823</v>
      </c>
      <c r="G33" s="129"/>
      <c r="H33" s="129"/>
      <c r="I33" s="129"/>
      <c r="J33" s="124"/>
      <c r="K33" s="124"/>
    </row>
    <row r="34" spans="1:11">
      <c r="A34" s="134" t="s">
        <v>824</v>
      </c>
      <c r="B34" s="135">
        <v>5</v>
      </c>
      <c r="C34" s="124">
        <v>0</v>
      </c>
      <c r="D34" s="124">
        <v>0</v>
      </c>
      <c r="E34" s="136">
        <v>0</v>
      </c>
      <c r="F34" s="137" t="s">
        <v>823</v>
      </c>
      <c r="G34" s="129"/>
      <c r="H34" s="129"/>
      <c r="I34" s="129"/>
      <c r="J34" s="124"/>
      <c r="K34" s="124"/>
    </row>
    <row r="35" spans="1:11">
      <c r="A35" s="134" t="s">
        <v>825</v>
      </c>
      <c r="B35" s="135">
        <v>30</v>
      </c>
      <c r="C35" s="124">
        <v>0</v>
      </c>
      <c r="D35" s="124">
        <v>0</v>
      </c>
      <c r="E35" s="136">
        <v>0</v>
      </c>
      <c r="F35" s="137" t="s">
        <v>823</v>
      </c>
      <c r="G35" s="129"/>
      <c r="H35" s="129"/>
      <c r="I35" s="129"/>
      <c r="J35" s="124"/>
      <c r="K35" s="124"/>
    </row>
    <row r="36" spans="1:11">
      <c r="A36" s="134" t="s">
        <v>826</v>
      </c>
      <c r="B36" s="135">
        <v>6</v>
      </c>
      <c r="C36" s="124">
        <v>0</v>
      </c>
      <c r="D36" s="124">
        <v>0</v>
      </c>
      <c r="E36" s="136">
        <v>0</v>
      </c>
      <c r="F36" s="137" t="s">
        <v>827</v>
      </c>
      <c r="G36" s="129"/>
      <c r="H36" s="129"/>
      <c r="I36" s="129"/>
      <c r="J36" s="124"/>
      <c r="K36" s="124"/>
    </row>
    <row r="37" spans="1:11">
      <c r="A37" s="134" t="s">
        <v>828</v>
      </c>
      <c r="B37" s="135">
        <v>1.2</v>
      </c>
      <c r="C37" s="124">
        <v>0</v>
      </c>
      <c r="D37" s="124">
        <v>0</v>
      </c>
      <c r="E37" s="136">
        <v>0</v>
      </c>
      <c r="F37" s="137" t="s">
        <v>827</v>
      </c>
      <c r="G37" s="129"/>
      <c r="H37" s="129"/>
      <c r="I37" s="129"/>
      <c r="J37" s="124"/>
      <c r="K37" s="124"/>
    </row>
    <row r="38" spans="1:11">
      <c r="A38" s="134" t="s">
        <v>829</v>
      </c>
      <c r="B38" s="135">
        <v>0.7</v>
      </c>
      <c r="C38" s="124">
        <v>0</v>
      </c>
      <c r="D38" s="124">
        <v>0</v>
      </c>
      <c r="E38" s="136">
        <v>0</v>
      </c>
      <c r="F38" s="137" t="s">
        <v>830</v>
      </c>
      <c r="G38" s="129"/>
      <c r="H38" s="129"/>
      <c r="I38" s="129"/>
      <c r="J38" s="124"/>
      <c r="K38" s="124"/>
    </row>
    <row r="39" spans="1:11">
      <c r="A39" s="134" t="s">
        <v>831</v>
      </c>
      <c r="B39" s="135">
        <v>18</v>
      </c>
      <c r="C39" s="124">
        <v>0</v>
      </c>
      <c r="D39" s="124">
        <v>0</v>
      </c>
      <c r="E39" s="136">
        <v>0</v>
      </c>
      <c r="F39" s="137" t="s">
        <v>823</v>
      </c>
      <c r="G39" s="129"/>
      <c r="H39" s="129"/>
      <c r="I39" s="129"/>
      <c r="J39" s="124"/>
      <c r="K39" s="124"/>
    </row>
    <row r="40" spans="1:11">
      <c r="A40" s="134" t="s">
        <v>832</v>
      </c>
      <c r="B40" s="135">
        <v>51</v>
      </c>
      <c r="C40" s="124">
        <v>0</v>
      </c>
      <c r="D40" s="124">
        <v>0</v>
      </c>
      <c r="E40" s="136">
        <v>0</v>
      </c>
      <c r="F40" s="137" t="s">
        <v>823</v>
      </c>
      <c r="G40" s="129"/>
      <c r="H40" s="129"/>
      <c r="I40" s="129"/>
      <c r="J40" s="124"/>
      <c r="K40" s="124"/>
    </row>
    <row r="41" spans="1:11">
      <c r="A41" s="134" t="s">
        <v>833</v>
      </c>
      <c r="B41" s="135">
        <v>377</v>
      </c>
      <c r="C41" s="124">
        <v>0</v>
      </c>
      <c r="D41" s="124">
        <v>0</v>
      </c>
      <c r="E41" s="136">
        <v>0</v>
      </c>
      <c r="F41" s="137" t="s">
        <v>834</v>
      </c>
      <c r="G41" s="129"/>
      <c r="H41" s="129"/>
      <c r="I41" s="129"/>
      <c r="J41" s="124"/>
      <c r="K41" s="124"/>
    </row>
    <row r="42" spans="1:11">
      <c r="A42" s="134" t="s">
        <v>835</v>
      </c>
      <c r="B42" s="135">
        <v>6.5</v>
      </c>
      <c r="C42" s="124">
        <v>0</v>
      </c>
      <c r="D42" s="124">
        <v>0</v>
      </c>
      <c r="E42" s="136">
        <v>0</v>
      </c>
      <c r="F42" s="137" t="s">
        <v>836</v>
      </c>
      <c r="G42" s="129"/>
      <c r="H42" s="129"/>
      <c r="I42" s="129"/>
      <c r="J42" s="124"/>
      <c r="K42" s="124"/>
    </row>
    <row r="43" spans="1:11">
      <c r="A43" s="134" t="s">
        <v>837</v>
      </c>
      <c r="B43" s="135">
        <v>0.46</v>
      </c>
      <c r="C43" s="124">
        <v>0</v>
      </c>
      <c r="D43" s="124">
        <v>0</v>
      </c>
      <c r="E43" s="136">
        <v>0</v>
      </c>
      <c r="F43" s="137" t="s">
        <v>823</v>
      </c>
      <c r="G43" s="129"/>
      <c r="H43" s="129"/>
      <c r="I43" s="129"/>
      <c r="J43" s="124"/>
      <c r="K43" s="124"/>
    </row>
    <row r="44" spans="1:11">
      <c r="A44" s="134" t="s">
        <v>838</v>
      </c>
      <c r="B44" s="135">
        <v>0.2</v>
      </c>
      <c r="C44" s="124">
        <v>0</v>
      </c>
      <c r="D44" s="124">
        <v>0</v>
      </c>
      <c r="E44" s="136">
        <v>0</v>
      </c>
      <c r="F44" s="137" t="s">
        <v>839</v>
      </c>
      <c r="G44" s="129"/>
      <c r="H44" s="129"/>
      <c r="I44" s="129"/>
      <c r="J44" s="124"/>
      <c r="K44" s="124"/>
    </row>
    <row r="45" spans="1:11">
      <c r="A45" s="134" t="s">
        <v>840</v>
      </c>
      <c r="B45" s="135">
        <v>0.05</v>
      </c>
      <c r="C45" s="124">
        <v>0</v>
      </c>
      <c r="D45" s="124">
        <v>0</v>
      </c>
      <c r="E45" s="136">
        <v>0</v>
      </c>
      <c r="F45" s="137" t="s">
        <v>839</v>
      </c>
      <c r="G45" s="129"/>
      <c r="H45" s="129"/>
      <c r="I45" s="129"/>
      <c r="J45" s="124"/>
      <c r="K45" s="124"/>
    </row>
    <row r="46" spans="1:11">
      <c r="A46" s="134" t="s">
        <v>841</v>
      </c>
      <c r="B46" s="135">
        <v>30</v>
      </c>
      <c r="C46" s="124">
        <v>0</v>
      </c>
      <c r="D46" s="124">
        <v>0</v>
      </c>
      <c r="E46" s="136">
        <v>0</v>
      </c>
      <c r="F46" s="137" t="s">
        <v>842</v>
      </c>
      <c r="G46" s="129"/>
      <c r="H46" s="129"/>
      <c r="I46" s="129"/>
      <c r="J46" s="124"/>
      <c r="K46" s="124"/>
    </row>
    <row r="47" spans="1:11">
      <c r="A47" s="134" t="s">
        <v>843</v>
      </c>
      <c r="B47" s="135">
        <v>5.0000000000000001E-3</v>
      </c>
      <c r="C47" s="124">
        <v>0</v>
      </c>
      <c r="D47" s="124">
        <v>0</v>
      </c>
      <c r="E47" s="136">
        <v>0</v>
      </c>
      <c r="F47" s="137" t="s">
        <v>844</v>
      </c>
      <c r="G47" s="129"/>
      <c r="H47" s="129"/>
      <c r="I47" s="129"/>
      <c r="J47" s="124"/>
      <c r="K47" s="124"/>
    </row>
    <row r="48" spans="1:11">
      <c r="A48" s="134" t="s">
        <v>845</v>
      </c>
      <c r="B48" s="135">
        <v>1E-3</v>
      </c>
      <c r="C48" s="124">
        <v>0</v>
      </c>
      <c r="D48" s="124">
        <v>0</v>
      </c>
      <c r="E48" s="136">
        <v>0</v>
      </c>
      <c r="F48" s="137" t="s">
        <v>844</v>
      </c>
      <c r="G48" s="129"/>
      <c r="H48" s="129"/>
      <c r="I48" s="129"/>
      <c r="J48" s="124"/>
      <c r="K48" s="124"/>
    </row>
    <row r="49" spans="1:11">
      <c r="A49" s="134" t="s">
        <v>846</v>
      </c>
      <c r="B49" s="135">
        <v>8.0000000000000004E-4</v>
      </c>
      <c r="C49" s="124">
        <v>0</v>
      </c>
      <c r="D49" s="124">
        <v>0</v>
      </c>
      <c r="E49" s="136">
        <v>0</v>
      </c>
      <c r="F49" s="137" t="s">
        <v>844</v>
      </c>
      <c r="G49" s="129"/>
      <c r="H49" s="129"/>
      <c r="I49" s="129"/>
      <c r="J49" s="124"/>
      <c r="K49" s="124"/>
    </row>
    <row r="50" spans="1:11">
      <c r="A50" s="134" t="s">
        <v>847</v>
      </c>
      <c r="B50" s="135">
        <v>3.35</v>
      </c>
      <c r="C50" s="124">
        <v>0</v>
      </c>
      <c r="D50" s="124">
        <v>0</v>
      </c>
      <c r="E50" s="136">
        <v>0</v>
      </c>
      <c r="F50" s="137" t="s">
        <v>88</v>
      </c>
      <c r="G50" s="129"/>
      <c r="H50" s="129"/>
      <c r="I50" s="129"/>
      <c r="J50" s="124"/>
      <c r="K50" s="124"/>
    </row>
    <row r="51" spans="1:11">
      <c r="A51" s="134" t="s">
        <v>848</v>
      </c>
      <c r="B51" s="135">
        <v>1.2E-2</v>
      </c>
      <c r="C51" s="124">
        <v>0</v>
      </c>
      <c r="D51" s="124">
        <v>0</v>
      </c>
      <c r="E51" s="136">
        <v>0</v>
      </c>
      <c r="F51" s="137" t="s">
        <v>844</v>
      </c>
      <c r="G51" s="129"/>
      <c r="H51" s="129"/>
      <c r="I51" s="129"/>
      <c r="J51" s="124"/>
      <c r="K51" s="124"/>
    </row>
    <row r="52" spans="1:11">
      <c r="A52" s="134" t="s">
        <v>849</v>
      </c>
      <c r="B52" s="135">
        <v>10.7</v>
      </c>
      <c r="C52" s="124">
        <v>0</v>
      </c>
      <c r="D52" s="124">
        <v>0</v>
      </c>
      <c r="E52" s="136">
        <v>0</v>
      </c>
      <c r="F52" s="137" t="s">
        <v>156</v>
      </c>
      <c r="G52" s="129"/>
      <c r="H52" s="129"/>
      <c r="I52" s="129"/>
      <c r="J52" s="124"/>
      <c r="K52" s="124"/>
    </row>
    <row r="53" spans="1:11">
      <c r="A53" s="134" t="s">
        <v>850</v>
      </c>
      <c r="B53" s="135">
        <v>11.3</v>
      </c>
      <c r="C53" s="124">
        <v>0</v>
      </c>
      <c r="D53" s="124">
        <v>0</v>
      </c>
      <c r="E53" s="136">
        <v>0</v>
      </c>
      <c r="F53" s="137" t="s">
        <v>156</v>
      </c>
      <c r="G53" s="129"/>
      <c r="H53" s="129"/>
      <c r="I53" s="129"/>
      <c r="J53" s="124"/>
      <c r="K53" s="124"/>
    </row>
    <row r="54" spans="1:11">
      <c r="A54" s="134" t="s">
        <v>851</v>
      </c>
      <c r="B54" s="135">
        <v>53.5</v>
      </c>
      <c r="C54" s="124">
        <v>0</v>
      </c>
      <c r="D54" s="124">
        <v>0</v>
      </c>
      <c r="E54" s="136">
        <v>0</v>
      </c>
      <c r="F54" s="137" t="s">
        <v>852</v>
      </c>
      <c r="G54" s="129"/>
      <c r="H54" s="129"/>
      <c r="I54" s="129"/>
      <c r="J54" s="124"/>
      <c r="K54" s="124"/>
    </row>
    <row r="55" spans="1:11">
      <c r="A55" s="134" t="s">
        <v>853</v>
      </c>
      <c r="B55" s="135">
        <v>47.2</v>
      </c>
      <c r="C55" s="124">
        <v>0</v>
      </c>
      <c r="D55" s="124">
        <v>0</v>
      </c>
      <c r="E55" s="136">
        <v>0</v>
      </c>
      <c r="F55" s="137" t="s">
        <v>854</v>
      </c>
      <c r="G55" s="129"/>
      <c r="H55" s="129"/>
      <c r="I55" s="129"/>
      <c r="J55" s="124"/>
      <c r="K55" s="124"/>
    </row>
    <row r="56" spans="1:11">
      <c r="A56" s="134" t="s">
        <v>855</v>
      </c>
      <c r="B56" s="135">
        <v>1</v>
      </c>
      <c r="C56" s="124">
        <v>0</v>
      </c>
      <c r="D56" s="124">
        <v>0</v>
      </c>
      <c r="E56" s="136">
        <v>0</v>
      </c>
      <c r="F56" s="137" t="s">
        <v>86</v>
      </c>
      <c r="G56" s="129"/>
      <c r="H56" s="129"/>
      <c r="I56" s="129"/>
      <c r="J56" s="124"/>
      <c r="K56" s="124"/>
    </row>
    <row r="59" spans="1:11">
      <c r="B59" t="s">
        <v>422</v>
      </c>
      <c r="C59" s="44" t="s">
        <v>856</v>
      </c>
    </row>
  </sheetData>
  <phoneticPr fontId="2" type="noConversion"/>
  <hyperlinks>
    <hyperlink ref="C59" r:id="rId1" xr:uid="{00000000-0004-0000-0400-000000000000}"/>
    <hyperlink ref="A1" location="'About og Fane-Link'!A1" display="Til Forsiden" xr:uid="{00000000-0004-0000-0400-000001000000}"/>
  </hyperlinks>
  <pageMargins left="0.75" right="0.75" top="1" bottom="1" header="0" footer="0"/>
  <pageSetup paperSize="9"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06"/>
  <sheetViews>
    <sheetView topLeftCell="A94" zoomScaleNormal="100" workbookViewId="0">
      <selection activeCell="D67" sqref="D67"/>
    </sheetView>
  </sheetViews>
  <sheetFormatPr defaultRowHeight="13.2"/>
  <cols>
    <col min="1" max="1" width="11.6640625" bestFit="1" customWidth="1"/>
    <col min="2" max="2" width="25.88671875" customWidth="1"/>
    <col min="3" max="3" width="11.33203125" bestFit="1" customWidth="1"/>
    <col min="4" max="4" width="12.88671875" bestFit="1" customWidth="1"/>
    <col min="11" max="11" width="13" customWidth="1"/>
    <col min="16" max="16" width="15.88671875" customWidth="1"/>
    <col min="17" max="17" width="22.6640625" customWidth="1"/>
    <col min="18" max="18" width="28.5546875" customWidth="1"/>
    <col min="19" max="19" width="9.109375" customWidth="1"/>
    <col min="20" max="20" width="23.5546875" customWidth="1"/>
    <col min="21" max="21" width="16" customWidth="1"/>
    <col min="22" max="22" width="21.33203125" customWidth="1"/>
  </cols>
  <sheetData>
    <row r="1" spans="1:20">
      <c r="A1" s="44" t="s">
        <v>2527</v>
      </c>
    </row>
    <row r="7" spans="1:20">
      <c r="I7" t="s">
        <v>471</v>
      </c>
    </row>
    <row r="15" spans="1:20" ht="18.600000000000001" thickBot="1">
      <c r="K15" s="5" t="s">
        <v>1860</v>
      </c>
    </row>
    <row r="16" spans="1:20" ht="16.2" thickBot="1">
      <c r="K16" s="641" t="s">
        <v>1852</v>
      </c>
      <c r="L16" s="642">
        <v>1950</v>
      </c>
      <c r="M16" s="642">
        <v>1970</v>
      </c>
      <c r="N16" s="643">
        <v>1985</v>
      </c>
      <c r="T16" s="701"/>
    </row>
    <row r="17" spans="2:22" ht="16.8" thickTop="1" thickBot="1">
      <c r="K17" s="644" t="s">
        <v>729</v>
      </c>
      <c r="L17" s="645">
        <v>0.4</v>
      </c>
      <c r="M17" s="645">
        <v>0.7</v>
      </c>
      <c r="N17" s="646">
        <v>1</v>
      </c>
      <c r="P17" s="700" t="s">
        <v>1971</v>
      </c>
      <c r="T17" s="970" t="s">
        <v>1973</v>
      </c>
      <c r="U17" s="704" t="s">
        <v>1974</v>
      </c>
      <c r="V17" s="704" t="s">
        <v>1976</v>
      </c>
    </row>
    <row r="18" spans="2:22" ht="15.6">
      <c r="K18" s="644" t="s">
        <v>1853</v>
      </c>
      <c r="L18" s="645">
        <v>0.2</v>
      </c>
      <c r="M18" s="645">
        <v>1.1000000000000001</v>
      </c>
      <c r="N18" s="646">
        <v>1.7</v>
      </c>
      <c r="P18" s="965" t="s">
        <v>473</v>
      </c>
      <c r="Q18" s="965"/>
      <c r="R18" s="652" t="s">
        <v>1906</v>
      </c>
      <c r="T18" s="970"/>
      <c r="U18" s="704" t="s">
        <v>1975</v>
      </c>
      <c r="V18" s="704" t="s">
        <v>1977</v>
      </c>
    </row>
    <row r="19" spans="2:22" ht="87.75" customHeight="1" thickBot="1">
      <c r="K19" s="644" t="s">
        <v>1854</v>
      </c>
      <c r="L19" s="645">
        <v>0.8</v>
      </c>
      <c r="M19" s="645">
        <v>1.5</v>
      </c>
      <c r="N19" s="646">
        <v>1.8</v>
      </c>
      <c r="P19" s="967"/>
      <c r="Q19" s="967"/>
      <c r="R19" s="649" t="s">
        <v>1970</v>
      </c>
      <c r="T19" s="970"/>
      <c r="U19" s="704"/>
      <c r="V19" s="704" t="s">
        <v>1978</v>
      </c>
    </row>
    <row r="20" spans="2:22" ht="47.25" customHeight="1">
      <c r="K20" s="644" t="s">
        <v>1855</v>
      </c>
      <c r="L20" s="645">
        <v>13.4</v>
      </c>
      <c r="M20" s="645">
        <v>16.5</v>
      </c>
      <c r="N20" s="646">
        <v>14.4</v>
      </c>
      <c r="P20" s="965" t="s">
        <v>1907</v>
      </c>
      <c r="Q20" s="690" t="s">
        <v>1908</v>
      </c>
      <c r="R20" s="690" t="s">
        <v>1912</v>
      </c>
      <c r="T20" s="704" t="s">
        <v>1979</v>
      </c>
      <c r="U20" s="124">
        <v>13694160</v>
      </c>
      <c r="V20" s="704">
        <v>2.54</v>
      </c>
    </row>
    <row r="21" spans="2:22" ht="47.25" customHeight="1">
      <c r="B21" t="s">
        <v>781</v>
      </c>
      <c r="C21" t="s">
        <v>782</v>
      </c>
      <c r="K21" s="644" t="s">
        <v>1856</v>
      </c>
      <c r="L21" s="645">
        <v>3.9</v>
      </c>
      <c r="M21" s="645">
        <v>9.5</v>
      </c>
      <c r="N21" s="646">
        <v>13.2</v>
      </c>
      <c r="P21" s="966"/>
      <c r="Q21" s="690" t="s">
        <v>1384</v>
      </c>
      <c r="R21" s="690" t="s">
        <v>1913</v>
      </c>
      <c r="T21" s="704" t="s">
        <v>160</v>
      </c>
      <c r="U21" s="705"/>
      <c r="V21" s="704">
        <v>1.59</v>
      </c>
    </row>
    <row r="22" spans="2:22" ht="15.6">
      <c r="B22" s="654" t="s">
        <v>1972</v>
      </c>
      <c r="K22" s="644" t="s">
        <v>1857</v>
      </c>
      <c r="L22" s="645">
        <v>5.4</v>
      </c>
      <c r="M22" s="645">
        <v>8.9</v>
      </c>
      <c r="N22" s="646">
        <v>13.2</v>
      </c>
      <c r="P22" s="966"/>
      <c r="Q22" s="690" t="s">
        <v>1909</v>
      </c>
      <c r="R22" s="690" t="s">
        <v>1914</v>
      </c>
      <c r="T22" s="704" t="s">
        <v>724</v>
      </c>
      <c r="U22" s="705"/>
      <c r="V22" s="704">
        <v>0.95</v>
      </c>
    </row>
    <row r="23" spans="2:22" ht="15.6">
      <c r="B23" s="654"/>
      <c r="K23" s="644" t="s">
        <v>1858</v>
      </c>
      <c r="L23" s="645">
        <v>4.9000000000000004</v>
      </c>
      <c r="M23" s="645">
        <v>9</v>
      </c>
      <c r="N23" s="646">
        <v>9.6999999999999993</v>
      </c>
      <c r="P23" s="966"/>
      <c r="Q23" s="690" t="s">
        <v>1910</v>
      </c>
      <c r="R23" s="690" t="s">
        <v>1914</v>
      </c>
      <c r="T23" s="704"/>
      <c r="U23" s="705"/>
      <c r="V23" s="124"/>
    </row>
    <row r="24" spans="2:22" ht="15.6">
      <c r="K24" s="644" t="s">
        <v>726</v>
      </c>
      <c r="L24" s="645"/>
      <c r="M24" s="645"/>
      <c r="N24" s="646">
        <v>12.6</v>
      </c>
      <c r="P24" s="966"/>
      <c r="Q24" s="690"/>
      <c r="R24" s="690"/>
      <c r="T24" s="704" t="s">
        <v>480</v>
      </c>
      <c r="U24" s="705">
        <v>10915258</v>
      </c>
      <c r="V24" s="704">
        <v>2.02</v>
      </c>
    </row>
    <row r="25" spans="2:22" ht="89.25" customHeight="1" thickBot="1">
      <c r="K25" s="647" t="s">
        <v>1859</v>
      </c>
      <c r="L25" s="648">
        <v>2.4</v>
      </c>
      <c r="M25" s="648">
        <v>4</v>
      </c>
      <c r="N25" s="649">
        <v>4.2</v>
      </c>
      <c r="P25" s="967"/>
      <c r="Q25" s="649" t="s">
        <v>1911</v>
      </c>
      <c r="R25" s="692" t="s">
        <v>1915</v>
      </c>
      <c r="T25" s="704" t="s">
        <v>481</v>
      </c>
      <c r="U25" s="705">
        <v>8044640</v>
      </c>
      <c r="V25" s="704">
        <v>1.49</v>
      </c>
    </row>
    <row r="26" spans="2:22" ht="47.25" customHeight="1">
      <c r="B26" s="142" t="s">
        <v>858</v>
      </c>
      <c r="C26" s="143"/>
      <c r="D26" s="143" t="s">
        <v>859</v>
      </c>
      <c r="E26" s="143"/>
      <c r="F26" s="144"/>
      <c r="P26" s="965" t="s">
        <v>1916</v>
      </c>
      <c r="Q26" s="690" t="s">
        <v>54</v>
      </c>
      <c r="R26" s="690" t="s">
        <v>1920</v>
      </c>
      <c r="T26" s="704"/>
      <c r="U26" s="704"/>
      <c r="V26" s="704"/>
    </row>
    <row r="27" spans="2:22" ht="15.6">
      <c r="B27" s="138"/>
      <c r="C27" s="70"/>
      <c r="D27" s="70"/>
      <c r="E27" s="70"/>
      <c r="F27" s="57"/>
      <c r="P27" s="966"/>
      <c r="Q27" s="690" t="s">
        <v>1493</v>
      </c>
      <c r="R27" s="690" t="s">
        <v>1921</v>
      </c>
    </row>
    <row r="28" spans="2:22" ht="15.6">
      <c r="B28" s="138" t="s">
        <v>860</v>
      </c>
      <c r="C28" s="70"/>
      <c r="D28" s="93">
        <v>1142</v>
      </c>
      <c r="E28" s="70"/>
      <c r="F28" s="57"/>
      <c r="P28" s="966"/>
      <c r="Q28" s="690" t="s">
        <v>1917</v>
      </c>
      <c r="R28" s="690" t="s">
        <v>1922</v>
      </c>
    </row>
    <row r="29" spans="2:22" ht="15.6">
      <c r="B29" s="138" t="s">
        <v>861</v>
      </c>
      <c r="C29" s="70"/>
      <c r="D29" s="70">
        <v>897</v>
      </c>
      <c r="E29" s="70"/>
      <c r="F29" s="57"/>
      <c r="P29" s="966"/>
      <c r="Q29" s="690" t="s">
        <v>1908</v>
      </c>
      <c r="R29" s="690" t="s">
        <v>1923</v>
      </c>
    </row>
    <row r="30" spans="2:22" ht="31.2">
      <c r="B30" s="138" t="s">
        <v>862</v>
      </c>
      <c r="C30" s="70"/>
      <c r="D30" s="70">
        <v>398</v>
      </c>
      <c r="E30" s="70"/>
      <c r="F30" s="57"/>
      <c r="P30" s="966"/>
      <c r="Q30" s="690" t="s">
        <v>1918</v>
      </c>
      <c r="R30" s="690" t="s">
        <v>1914</v>
      </c>
    </row>
    <row r="31" spans="2:22" ht="15.6">
      <c r="B31" s="138" t="s">
        <v>863</v>
      </c>
      <c r="C31" s="70"/>
      <c r="D31" s="70">
        <v>31</v>
      </c>
      <c r="E31" s="70"/>
      <c r="F31" s="57"/>
      <c r="P31" s="966"/>
      <c r="Q31" s="690" t="s">
        <v>1919</v>
      </c>
      <c r="R31" s="690"/>
    </row>
    <row r="32" spans="2:22" ht="14.25" customHeight="1">
      <c r="B32" s="138" t="s">
        <v>864</v>
      </c>
      <c r="C32" s="70"/>
      <c r="D32" s="70">
        <v>23</v>
      </c>
      <c r="E32" s="70"/>
      <c r="F32" s="57"/>
      <c r="P32" s="966"/>
      <c r="Q32" s="690" t="s">
        <v>167</v>
      </c>
      <c r="R32" s="690" t="s">
        <v>1924</v>
      </c>
    </row>
    <row r="33" spans="2:18" ht="15.6">
      <c r="B33" s="138" t="s">
        <v>865</v>
      </c>
      <c r="C33" s="70"/>
      <c r="D33" s="70">
        <v>39</v>
      </c>
      <c r="E33" s="70"/>
      <c r="F33" s="57"/>
      <c r="P33" s="966"/>
      <c r="Q33" s="690"/>
      <c r="R33" s="690" t="s">
        <v>1925</v>
      </c>
    </row>
    <row r="34" spans="2:18" ht="16.2" thickBot="1">
      <c r="B34" s="138" t="s">
        <v>866</v>
      </c>
      <c r="C34" s="70"/>
      <c r="D34" s="70">
        <v>89</v>
      </c>
      <c r="E34" s="70"/>
      <c r="F34" s="57"/>
      <c r="P34" s="967"/>
      <c r="Q34" s="691"/>
      <c r="R34" s="649"/>
    </row>
    <row r="35" spans="2:18" ht="15.6">
      <c r="B35" s="139" t="s">
        <v>867</v>
      </c>
      <c r="C35" s="140"/>
      <c r="D35" s="140"/>
      <c r="E35" s="140"/>
      <c r="F35" s="141"/>
      <c r="P35" s="965" t="s">
        <v>1926</v>
      </c>
      <c r="Q35" s="690" t="s">
        <v>1927</v>
      </c>
      <c r="R35" s="690" t="s">
        <v>1930</v>
      </c>
    </row>
    <row r="36" spans="2:18" ht="15.6">
      <c r="P36" s="966"/>
      <c r="Q36" s="690" t="s">
        <v>1928</v>
      </c>
      <c r="R36" s="690" t="s">
        <v>1931</v>
      </c>
    </row>
    <row r="37" spans="2:18" ht="15.6">
      <c r="P37" s="966"/>
      <c r="Q37" s="690" t="s">
        <v>1929</v>
      </c>
      <c r="R37" s="690" t="s">
        <v>1932</v>
      </c>
    </row>
    <row r="38" spans="2:18" ht="16.2" thickBot="1">
      <c r="P38" s="967"/>
      <c r="Q38" s="649"/>
      <c r="R38" s="691"/>
    </row>
    <row r="39" spans="2:18" ht="15.6">
      <c r="P39" s="965" t="s">
        <v>1933</v>
      </c>
      <c r="Q39" s="690" t="s">
        <v>372</v>
      </c>
      <c r="R39" s="690" t="s">
        <v>1936</v>
      </c>
    </row>
    <row r="40" spans="2:18" ht="15.6">
      <c r="P40" s="966"/>
      <c r="Q40" s="690" t="s">
        <v>1934</v>
      </c>
      <c r="R40" s="690" t="s">
        <v>1937</v>
      </c>
    </row>
    <row r="41" spans="2:18" ht="15.6">
      <c r="P41" s="966"/>
      <c r="Q41" s="690" t="s">
        <v>1935</v>
      </c>
      <c r="R41" s="690" t="s">
        <v>1938</v>
      </c>
    </row>
    <row r="42" spans="2:18" ht="16.2" thickBot="1">
      <c r="P42" s="967"/>
      <c r="Q42" s="649"/>
      <c r="R42" s="649"/>
    </row>
    <row r="43" spans="2:18" ht="15.6">
      <c r="P43" s="695" t="s">
        <v>928</v>
      </c>
      <c r="Q43" s="690" t="s">
        <v>1940</v>
      </c>
      <c r="R43" s="690" t="s">
        <v>1953</v>
      </c>
    </row>
    <row r="44" spans="2:18" ht="15.6">
      <c r="P44" s="696"/>
      <c r="Q44" s="690" t="s">
        <v>1941</v>
      </c>
      <c r="R44" s="690" t="s">
        <v>1953</v>
      </c>
    </row>
    <row r="45" spans="2:18" ht="15.6">
      <c r="P45" s="696"/>
      <c r="Q45" s="690"/>
      <c r="R45" s="690"/>
    </row>
    <row r="46" spans="2:18" ht="15.6">
      <c r="P46" s="693" t="s">
        <v>1939</v>
      </c>
      <c r="Q46" s="690" t="s">
        <v>1942</v>
      </c>
      <c r="R46" s="690" t="s">
        <v>1954</v>
      </c>
    </row>
    <row r="47" spans="2:18" ht="15.6">
      <c r="P47" s="694"/>
      <c r="Q47" s="690" t="s">
        <v>1943</v>
      </c>
      <c r="R47" s="690" t="s">
        <v>1955</v>
      </c>
    </row>
    <row r="48" spans="2:18" ht="15.6">
      <c r="P48" s="694"/>
      <c r="Q48" s="690" t="s">
        <v>1944</v>
      </c>
      <c r="R48" s="690" t="s">
        <v>1956</v>
      </c>
    </row>
    <row r="49" spans="2:18" ht="15.6">
      <c r="P49" s="693"/>
      <c r="Q49" s="690" t="s">
        <v>1945</v>
      </c>
      <c r="R49" s="690" t="s">
        <v>1957</v>
      </c>
    </row>
    <row r="50" spans="2:18" ht="15.6">
      <c r="B50" s="122"/>
      <c r="P50" s="696"/>
      <c r="Q50" s="690"/>
      <c r="R50" s="690"/>
    </row>
    <row r="51" spans="2:18" ht="31.2">
      <c r="P51" s="693" t="s">
        <v>299</v>
      </c>
      <c r="Q51" s="690" t="s">
        <v>1946</v>
      </c>
      <c r="R51" s="690" t="s">
        <v>1958</v>
      </c>
    </row>
    <row r="52" spans="2:18" ht="15.6">
      <c r="P52" s="696"/>
      <c r="Q52" s="690" t="s">
        <v>1947</v>
      </c>
      <c r="R52" s="690" t="s">
        <v>1959</v>
      </c>
    </row>
    <row r="53" spans="2:18" ht="15.6">
      <c r="P53" s="696"/>
      <c r="Q53" s="690" t="s">
        <v>1948</v>
      </c>
      <c r="R53" s="690" t="s">
        <v>1960</v>
      </c>
    </row>
    <row r="54" spans="2:18" ht="15.6">
      <c r="P54" s="693" t="s">
        <v>1707</v>
      </c>
      <c r="Q54" s="690"/>
      <c r="R54" s="690"/>
    </row>
    <row r="55" spans="2:18" ht="15.6">
      <c r="P55" s="694"/>
      <c r="Q55" s="690" t="s">
        <v>1949</v>
      </c>
      <c r="R55" s="690" t="s">
        <v>1961</v>
      </c>
    </row>
    <row r="56" spans="2:18" ht="15.6">
      <c r="P56" s="694"/>
      <c r="Q56" s="690" t="s">
        <v>1950</v>
      </c>
      <c r="R56" s="690" t="s">
        <v>1962</v>
      </c>
    </row>
    <row r="57" spans="2:18" ht="15.6">
      <c r="P57" s="693"/>
      <c r="Q57" s="690"/>
      <c r="R57" s="690"/>
    </row>
    <row r="58" spans="2:18" ht="15.6">
      <c r="P58" s="696"/>
      <c r="Q58" s="690" t="s">
        <v>1951</v>
      </c>
      <c r="R58" s="690"/>
    </row>
    <row r="59" spans="2:18" ht="15.6">
      <c r="P59" s="693" t="s">
        <v>293</v>
      </c>
      <c r="Q59" s="690" t="s">
        <v>1952</v>
      </c>
      <c r="R59" s="690" t="s">
        <v>1963</v>
      </c>
    </row>
    <row r="60" spans="2:18" ht="15.6">
      <c r="P60" s="697"/>
      <c r="Q60" s="690"/>
      <c r="R60" s="690" t="s">
        <v>1964</v>
      </c>
    </row>
    <row r="61" spans="2:18" ht="15.6">
      <c r="P61" s="697"/>
      <c r="Q61" s="690"/>
      <c r="R61" s="690"/>
    </row>
    <row r="62" spans="2:18" ht="15.6">
      <c r="P62" s="697"/>
      <c r="Q62" s="690"/>
      <c r="R62" s="690"/>
    </row>
    <row r="63" spans="2:18" ht="15.6">
      <c r="P63" s="697"/>
      <c r="Q63" s="690"/>
      <c r="R63" s="690"/>
    </row>
    <row r="64" spans="2:18" ht="15.6">
      <c r="P64" s="697"/>
      <c r="Q64" s="690"/>
      <c r="R64" s="690"/>
    </row>
    <row r="65" spans="3:18" ht="16.2" thickBot="1">
      <c r="C65" s="968" t="s">
        <v>2032</v>
      </c>
      <c r="D65" s="968"/>
      <c r="E65" s="968"/>
      <c r="F65" s="968"/>
      <c r="G65" s="968"/>
      <c r="H65" s="968"/>
      <c r="I65" s="968"/>
      <c r="J65" s="968"/>
      <c r="P65" s="638"/>
      <c r="Q65" s="649"/>
      <c r="R65" s="649"/>
    </row>
    <row r="66" spans="3:18" ht="16.2" thickBot="1">
      <c r="C66" s="968"/>
      <c r="D66" s="968"/>
      <c r="E66" s="968"/>
      <c r="F66" s="968"/>
      <c r="G66" s="968"/>
      <c r="H66" s="968"/>
      <c r="I66" s="968"/>
      <c r="J66" s="968"/>
      <c r="P66" s="698"/>
      <c r="Q66" s="649"/>
      <c r="R66" s="649"/>
    </row>
    <row r="67" spans="3:18" ht="31.8" thickBot="1">
      <c r="C67" s="729"/>
      <c r="D67" s="729" t="s">
        <v>2033</v>
      </c>
      <c r="E67" s="729"/>
      <c r="F67" s="729"/>
      <c r="G67" s="729"/>
      <c r="H67" s="729"/>
      <c r="I67" s="729"/>
      <c r="J67" s="729"/>
      <c r="P67" s="699" t="s">
        <v>1965</v>
      </c>
      <c r="Q67" s="649" t="s">
        <v>1966</v>
      </c>
      <c r="R67" s="649" t="s">
        <v>1967</v>
      </c>
    </row>
    <row r="68" spans="3:18" ht="31.8" thickBot="1">
      <c r="C68" s="729"/>
      <c r="D68" s="729" t="s">
        <v>2034</v>
      </c>
      <c r="E68" s="729"/>
      <c r="F68" s="729"/>
      <c r="G68" s="729"/>
      <c r="H68" s="729"/>
      <c r="I68" s="729"/>
      <c r="J68" s="729"/>
      <c r="P68" s="698"/>
      <c r="Q68" s="649" t="s">
        <v>1968</v>
      </c>
      <c r="R68" s="649" t="s">
        <v>1969</v>
      </c>
    </row>
    <row r="69" spans="3:18" ht="16.2" thickBot="1">
      <c r="C69" s="729"/>
      <c r="D69" s="729" t="s">
        <v>2035</v>
      </c>
      <c r="E69" s="729"/>
      <c r="F69" s="729"/>
      <c r="G69" s="729"/>
      <c r="H69" s="729"/>
      <c r="I69" s="729"/>
      <c r="J69" s="729"/>
      <c r="P69" s="698"/>
      <c r="Q69" s="649"/>
      <c r="R69" s="649"/>
    </row>
    <row r="70" spans="3:18">
      <c r="C70" s="729"/>
      <c r="D70" s="729" t="s">
        <v>2036</v>
      </c>
      <c r="E70" s="729"/>
      <c r="F70" s="729"/>
      <c r="G70" s="729"/>
      <c r="H70" s="729"/>
      <c r="I70" s="729"/>
      <c r="J70" s="729"/>
    </row>
    <row r="71" spans="3:18" ht="15.6">
      <c r="C71" s="729"/>
      <c r="D71" s="729" t="s">
        <v>2037</v>
      </c>
      <c r="E71" s="729"/>
      <c r="F71" s="729"/>
      <c r="G71" s="729"/>
      <c r="H71" s="729"/>
      <c r="I71" s="729"/>
      <c r="J71" s="729"/>
    </row>
    <row r="72" spans="3:18">
      <c r="C72" s="729"/>
      <c r="D72" s="729" t="s">
        <v>2038</v>
      </c>
      <c r="E72" s="729"/>
      <c r="F72" s="729"/>
      <c r="G72" s="729"/>
      <c r="H72" s="729"/>
      <c r="I72" s="729"/>
      <c r="J72" s="729"/>
    </row>
    <row r="73" spans="3:18">
      <c r="C73" s="729"/>
      <c r="D73" s="729"/>
      <c r="E73" s="729"/>
      <c r="F73" s="729"/>
      <c r="G73" s="729"/>
      <c r="H73" s="729"/>
      <c r="I73" s="729"/>
      <c r="J73" s="729"/>
    </row>
    <row r="74" spans="3:18">
      <c r="C74" s="968" t="s">
        <v>2039</v>
      </c>
      <c r="D74" s="968"/>
      <c r="E74" s="968"/>
      <c r="F74" s="968"/>
      <c r="G74" s="968"/>
      <c r="H74" s="968"/>
      <c r="I74" s="968"/>
      <c r="J74" s="968"/>
    </row>
    <row r="75" spans="3:18">
      <c r="C75" s="968"/>
      <c r="D75" s="968"/>
      <c r="E75" s="968"/>
      <c r="F75" s="968"/>
      <c r="G75" s="968"/>
      <c r="H75" s="968"/>
      <c r="I75" s="968"/>
      <c r="J75" s="968"/>
    </row>
    <row r="76" spans="3:18">
      <c r="C76" s="968"/>
      <c r="D76" s="968"/>
      <c r="E76" s="968"/>
      <c r="F76" s="968"/>
      <c r="G76" s="968"/>
      <c r="H76" s="968"/>
      <c r="I76" s="968"/>
      <c r="J76" s="968"/>
    </row>
    <row r="77" spans="3:18">
      <c r="C77" s="968"/>
      <c r="D77" s="968"/>
      <c r="E77" s="968"/>
      <c r="F77" s="968"/>
      <c r="G77" s="968"/>
      <c r="H77" s="968"/>
      <c r="I77" s="968"/>
      <c r="J77" s="968"/>
    </row>
    <row r="78" spans="3:18">
      <c r="C78" s="729"/>
      <c r="D78" s="729"/>
      <c r="E78" s="729"/>
      <c r="F78" s="729"/>
      <c r="G78" s="729"/>
      <c r="H78" s="729"/>
      <c r="I78" s="729"/>
      <c r="J78" s="729"/>
    </row>
    <row r="79" spans="3:18">
      <c r="C79" s="368"/>
      <c r="D79" s="368"/>
      <c r="E79" s="368"/>
      <c r="F79" s="368"/>
      <c r="G79" s="368"/>
      <c r="H79" s="368"/>
      <c r="I79" s="368"/>
      <c r="J79" s="368"/>
    </row>
    <row r="80" spans="3:18" ht="15.6">
      <c r="C80" s="969" t="s">
        <v>2040</v>
      </c>
      <c r="D80" s="969"/>
      <c r="E80" s="969"/>
      <c r="F80" s="969"/>
      <c r="G80" s="969"/>
      <c r="H80" s="969"/>
      <c r="I80" s="969"/>
      <c r="J80" s="969"/>
    </row>
    <row r="81" spans="3:10">
      <c r="C81" s="963" t="s">
        <v>2041</v>
      </c>
      <c r="D81" s="963"/>
      <c r="E81" s="964" t="s">
        <v>2042</v>
      </c>
      <c r="F81" s="964"/>
      <c r="G81" s="964"/>
      <c r="H81" s="964"/>
      <c r="I81" s="964"/>
      <c r="J81" s="964"/>
    </row>
    <row r="82" spans="3:10" ht="15.6">
      <c r="C82" s="963"/>
      <c r="D82" s="963"/>
      <c r="E82" s="730" t="s">
        <v>1377</v>
      </c>
      <c r="F82" s="730" t="s">
        <v>1379</v>
      </c>
      <c r="G82" s="730" t="s">
        <v>1380</v>
      </c>
      <c r="H82" s="730" t="s">
        <v>2043</v>
      </c>
      <c r="I82" s="730" t="s">
        <v>2044</v>
      </c>
      <c r="J82" s="730" t="s">
        <v>2045</v>
      </c>
    </row>
    <row r="83" spans="3:10" ht="20.399999999999999">
      <c r="C83" s="962" t="s">
        <v>2046</v>
      </c>
      <c r="D83" s="731" t="s">
        <v>2047</v>
      </c>
      <c r="E83" s="732"/>
      <c r="F83" s="731"/>
      <c r="G83" s="731"/>
      <c r="H83" s="731"/>
      <c r="I83" s="731"/>
      <c r="J83" s="731"/>
    </row>
    <row r="84" spans="3:10">
      <c r="C84" s="962"/>
      <c r="D84" s="731" t="s">
        <v>2048</v>
      </c>
      <c r="E84" s="732"/>
      <c r="F84" s="731"/>
      <c r="G84" s="731"/>
      <c r="H84" s="731"/>
      <c r="I84" s="731"/>
      <c r="J84" s="731"/>
    </row>
    <row r="85" spans="3:10">
      <c r="C85" s="962"/>
      <c r="D85" s="731" t="s">
        <v>2049</v>
      </c>
      <c r="E85" s="732"/>
      <c r="F85" s="731"/>
      <c r="G85" s="731"/>
      <c r="H85" s="731"/>
      <c r="I85" s="731"/>
      <c r="J85" s="731"/>
    </row>
    <row r="86" spans="3:10" ht="30.6">
      <c r="C86" s="962"/>
      <c r="D86" s="731" t="s">
        <v>2050</v>
      </c>
      <c r="E86" s="732"/>
      <c r="F86" s="731"/>
      <c r="G86" s="731"/>
      <c r="H86" s="731"/>
      <c r="I86" s="731"/>
      <c r="J86" s="731"/>
    </row>
    <row r="87" spans="3:10" ht="21.6">
      <c r="C87" s="962"/>
      <c r="D87" s="731" t="s">
        <v>2051</v>
      </c>
      <c r="E87" s="732"/>
      <c r="F87" s="732"/>
      <c r="G87" s="731"/>
      <c r="H87" s="731"/>
      <c r="I87" s="731"/>
      <c r="J87" s="731"/>
    </row>
    <row r="88" spans="3:10">
      <c r="C88" s="959" t="s">
        <v>2052</v>
      </c>
      <c r="D88" s="731" t="s">
        <v>2053</v>
      </c>
      <c r="E88" s="732"/>
      <c r="F88" s="732"/>
      <c r="G88" s="731"/>
      <c r="H88" s="731"/>
      <c r="I88" s="731"/>
      <c r="J88" s="731"/>
    </row>
    <row r="89" spans="3:10">
      <c r="C89" s="960"/>
      <c r="D89" s="731" t="s">
        <v>2054</v>
      </c>
      <c r="E89" s="731"/>
      <c r="F89" s="731"/>
      <c r="G89" s="732"/>
      <c r="H89" s="731"/>
      <c r="I89" s="731"/>
      <c r="J89" s="731"/>
    </row>
    <row r="90" spans="3:10">
      <c r="C90" s="960"/>
      <c r="D90" s="731" t="s">
        <v>2055</v>
      </c>
      <c r="E90" s="731"/>
      <c r="F90" s="731"/>
      <c r="G90" s="732"/>
      <c r="H90" s="731"/>
      <c r="I90" s="731"/>
      <c r="J90" s="731"/>
    </row>
    <row r="91" spans="3:10">
      <c r="C91" s="960"/>
      <c r="D91" s="731" t="s">
        <v>2056</v>
      </c>
      <c r="E91" s="731"/>
      <c r="F91" s="731"/>
      <c r="G91" s="732"/>
      <c r="H91" s="731"/>
      <c r="I91" s="731"/>
      <c r="J91" s="731"/>
    </row>
    <row r="92" spans="3:10">
      <c r="C92" s="960"/>
      <c r="D92" s="731" t="s">
        <v>2057</v>
      </c>
      <c r="E92" s="732"/>
      <c r="F92" s="732"/>
      <c r="G92" s="731"/>
      <c r="H92" s="731"/>
      <c r="I92" s="731"/>
      <c r="J92" s="731"/>
    </row>
    <row r="93" spans="3:10">
      <c r="C93" s="960"/>
      <c r="D93" s="731" t="s">
        <v>2058</v>
      </c>
      <c r="E93" s="731"/>
      <c r="F93" s="731"/>
      <c r="G93" s="732"/>
      <c r="H93" s="731"/>
      <c r="I93" s="731"/>
      <c r="J93" s="731"/>
    </row>
    <row r="94" spans="3:10">
      <c r="C94" s="961"/>
      <c r="D94" s="731" t="s">
        <v>2059</v>
      </c>
      <c r="E94" s="731"/>
      <c r="F94" s="732"/>
      <c r="G94" s="731"/>
      <c r="H94" s="731"/>
      <c r="I94" s="731"/>
      <c r="J94" s="731"/>
    </row>
    <row r="95" spans="3:10" ht="20.399999999999999">
      <c r="C95" s="959" t="s">
        <v>2060</v>
      </c>
      <c r="D95" s="731" t="s">
        <v>2061</v>
      </c>
      <c r="E95" s="732"/>
      <c r="F95" s="732"/>
      <c r="G95" s="731"/>
      <c r="H95" s="731"/>
      <c r="I95" s="731"/>
      <c r="J95" s="731"/>
    </row>
    <row r="96" spans="3:10">
      <c r="C96" s="960"/>
      <c r="D96" s="731" t="s">
        <v>10</v>
      </c>
      <c r="E96" s="732"/>
      <c r="F96" s="731"/>
      <c r="G96" s="731"/>
      <c r="H96" s="732"/>
      <c r="I96" s="731"/>
      <c r="J96" s="731"/>
    </row>
    <row r="97" spans="3:10">
      <c r="C97" s="960"/>
      <c r="D97" s="731" t="s">
        <v>45</v>
      </c>
      <c r="E97" s="731"/>
      <c r="F97" s="731"/>
      <c r="G97" s="731"/>
      <c r="H97" s="731"/>
      <c r="I97" s="732"/>
      <c r="J97" s="732"/>
    </row>
    <row r="98" spans="3:10">
      <c r="C98" s="961"/>
      <c r="D98" s="731" t="s">
        <v>2062</v>
      </c>
      <c r="E98" s="732"/>
      <c r="F98" s="731"/>
      <c r="G98" s="731"/>
      <c r="H98" s="731"/>
      <c r="I98" s="731"/>
      <c r="J98" s="731"/>
    </row>
    <row r="99" spans="3:10">
      <c r="C99" s="959" t="s">
        <v>2063</v>
      </c>
      <c r="D99" s="731" t="s">
        <v>2064</v>
      </c>
      <c r="E99" s="731"/>
      <c r="F99" s="732"/>
      <c r="G99" s="731"/>
      <c r="H99" s="731"/>
      <c r="I99" s="731"/>
      <c r="J99" s="731"/>
    </row>
    <row r="100" spans="3:10" ht="20.399999999999999">
      <c r="C100" s="960"/>
      <c r="D100" s="731" t="s">
        <v>2065</v>
      </c>
      <c r="E100" s="732"/>
      <c r="F100" s="731"/>
      <c r="G100" s="731"/>
      <c r="H100" s="731"/>
      <c r="I100" s="731"/>
      <c r="J100" s="731"/>
    </row>
    <row r="101" spans="3:10">
      <c r="C101" s="960"/>
      <c r="D101" s="731" t="s">
        <v>2066</v>
      </c>
      <c r="E101" s="732"/>
      <c r="F101" s="732"/>
      <c r="G101" s="731"/>
      <c r="H101" s="731"/>
      <c r="I101" s="731"/>
      <c r="J101" s="731"/>
    </row>
    <row r="102" spans="3:10" ht="20.399999999999999">
      <c r="C102" s="960"/>
      <c r="D102" s="731" t="s">
        <v>2067</v>
      </c>
      <c r="E102" s="732"/>
      <c r="F102" s="732"/>
      <c r="G102" s="731"/>
      <c r="H102" s="731"/>
      <c r="I102" s="731"/>
      <c r="J102" s="731"/>
    </row>
    <row r="103" spans="3:10" ht="30.6">
      <c r="C103" s="961"/>
      <c r="D103" s="731" t="s">
        <v>2068</v>
      </c>
      <c r="E103" s="732"/>
      <c r="F103" s="732"/>
      <c r="G103" s="731"/>
      <c r="H103" s="731"/>
      <c r="I103" s="731"/>
      <c r="J103" s="731"/>
    </row>
    <row r="104" spans="3:10" ht="20.399999999999999">
      <c r="C104" s="962" t="s">
        <v>821</v>
      </c>
      <c r="D104" s="731" t="s">
        <v>2069</v>
      </c>
      <c r="E104" s="731"/>
      <c r="F104" s="731"/>
      <c r="G104" s="731"/>
      <c r="H104" s="732"/>
      <c r="I104" s="731"/>
      <c r="J104" s="732"/>
    </row>
    <row r="105" spans="3:10" ht="33">
      <c r="C105" s="962"/>
      <c r="D105" s="731" t="s">
        <v>2070</v>
      </c>
      <c r="E105" s="731"/>
      <c r="F105" s="731"/>
      <c r="G105" s="731"/>
      <c r="H105" s="732"/>
      <c r="I105" s="732"/>
      <c r="J105" s="732"/>
    </row>
    <row r="106" spans="3:10" ht="20.399999999999999">
      <c r="C106" s="962"/>
      <c r="D106" s="731" t="s">
        <v>2071</v>
      </c>
      <c r="E106" s="732"/>
      <c r="F106" s="732"/>
      <c r="G106" s="731"/>
      <c r="H106" s="731"/>
      <c r="I106" s="731"/>
      <c r="J106" s="731"/>
    </row>
  </sheetData>
  <mergeCells count="17">
    <mergeCell ref="T17:T19"/>
    <mergeCell ref="P18:P19"/>
    <mergeCell ref="Q18:Q19"/>
    <mergeCell ref="P20:P25"/>
    <mergeCell ref="P26:P34"/>
    <mergeCell ref="P35:P38"/>
    <mergeCell ref="P39:P42"/>
    <mergeCell ref="C65:J66"/>
    <mergeCell ref="C74:J77"/>
    <mergeCell ref="C80:J80"/>
    <mergeCell ref="C99:C103"/>
    <mergeCell ref="C104:C106"/>
    <mergeCell ref="C81:D82"/>
    <mergeCell ref="E81:J81"/>
    <mergeCell ref="C83:C87"/>
    <mergeCell ref="C88:C94"/>
    <mergeCell ref="C95:C98"/>
  </mergeCells>
  <phoneticPr fontId="2" type="noConversion"/>
  <hyperlinks>
    <hyperlink ref="A1" location="'About og Fane-Link'!A1" display="Til Forsiden" xr:uid="{00000000-0004-0000-0500-000000000000}"/>
  </hyperlinks>
  <printOptions gridLines="1"/>
  <pageMargins left="0.75" right="0.75" top="1" bottom="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0"/>
  <sheetViews>
    <sheetView topLeftCell="A22" workbookViewId="0">
      <selection activeCell="G63" sqref="G63"/>
    </sheetView>
  </sheetViews>
  <sheetFormatPr defaultRowHeight="13.2"/>
  <cols>
    <col min="1" max="1" width="19.6640625" customWidth="1"/>
    <col min="2" max="2" width="16.5546875" customWidth="1"/>
    <col min="4" max="4" width="13.109375" customWidth="1"/>
    <col min="5" max="5" width="12.44140625" customWidth="1"/>
    <col min="6" max="6" width="12.5546875" customWidth="1"/>
    <col min="7" max="7" width="12.33203125" customWidth="1"/>
    <col min="8" max="8" width="11.5546875" customWidth="1"/>
    <col min="9" max="9" width="11.33203125" customWidth="1"/>
  </cols>
  <sheetData>
    <row r="1" spans="1:9">
      <c r="A1" s="44" t="s">
        <v>2527</v>
      </c>
    </row>
    <row r="2" spans="1:9" ht="13.8" thickBot="1"/>
    <row r="3" spans="1:9" ht="27.75" customHeight="1">
      <c r="B3" s="971" t="s">
        <v>579</v>
      </c>
      <c r="C3" s="973" t="s">
        <v>6</v>
      </c>
      <c r="D3" s="36" t="s">
        <v>535</v>
      </c>
      <c r="E3" s="36" t="s">
        <v>537</v>
      </c>
      <c r="F3" s="36" t="s">
        <v>539</v>
      </c>
      <c r="G3" s="36" t="s">
        <v>541</v>
      </c>
      <c r="H3" s="36" t="s">
        <v>543</v>
      </c>
      <c r="I3" s="37" t="s">
        <v>544</v>
      </c>
    </row>
    <row r="4" spans="1:9" ht="15.6">
      <c r="B4" s="972"/>
      <c r="C4" s="974"/>
      <c r="D4" s="38" t="s">
        <v>536</v>
      </c>
      <c r="E4" s="38" t="s">
        <v>538</v>
      </c>
      <c r="F4" s="38" t="s">
        <v>540</v>
      </c>
      <c r="G4" s="38" t="s">
        <v>542</v>
      </c>
      <c r="H4" s="38" t="s">
        <v>540</v>
      </c>
      <c r="I4" s="39" t="s">
        <v>540</v>
      </c>
    </row>
    <row r="5" spans="1:9" ht="12.75" customHeight="1">
      <c r="B5" s="975" t="s">
        <v>425</v>
      </c>
      <c r="C5" s="976"/>
      <c r="D5" s="976"/>
      <c r="E5" s="976"/>
      <c r="F5" s="976"/>
      <c r="G5" s="976"/>
      <c r="H5" s="976"/>
      <c r="I5" s="977"/>
    </row>
    <row r="6" spans="1:9">
      <c r="B6" s="17" t="s">
        <v>545</v>
      </c>
      <c r="C6" s="18" t="s">
        <v>427</v>
      </c>
      <c r="D6" s="18" t="s">
        <v>546</v>
      </c>
      <c r="E6" s="18" t="s">
        <v>547</v>
      </c>
      <c r="F6" s="18" t="s">
        <v>548</v>
      </c>
      <c r="G6" s="18" t="s">
        <v>549</v>
      </c>
      <c r="H6" s="18" t="s">
        <v>550</v>
      </c>
      <c r="I6" s="19" t="s">
        <v>550</v>
      </c>
    </row>
    <row r="7" spans="1:9" ht="12.75" customHeight="1">
      <c r="B7" s="975" t="s">
        <v>551</v>
      </c>
      <c r="C7" s="976"/>
      <c r="D7" s="976"/>
      <c r="E7" s="976"/>
      <c r="F7" s="976"/>
      <c r="G7" s="976"/>
      <c r="H7" s="976"/>
      <c r="I7" s="977"/>
    </row>
    <row r="8" spans="1:9" ht="18" customHeight="1">
      <c r="B8" s="17" t="s">
        <v>552</v>
      </c>
      <c r="C8" s="18" t="s">
        <v>88</v>
      </c>
      <c r="D8" s="18" t="s">
        <v>553</v>
      </c>
      <c r="E8" s="18">
        <v>3.0000000000000001E-3</v>
      </c>
      <c r="F8" s="18">
        <v>5.0000000000000001E-4</v>
      </c>
      <c r="G8" s="18">
        <v>5.0000000000000001E-4</v>
      </c>
      <c r="H8" s="18">
        <v>4.0000000000000002E-4</v>
      </c>
      <c r="I8" s="19">
        <v>5.0000000000000001E-4</v>
      </c>
    </row>
    <row r="9" spans="1:9" ht="15.6">
      <c r="B9" s="17" t="s">
        <v>554</v>
      </c>
      <c r="C9" s="18" t="s">
        <v>555</v>
      </c>
      <c r="D9" s="18" t="s">
        <v>556</v>
      </c>
      <c r="E9" s="18" t="s">
        <v>557</v>
      </c>
      <c r="F9" s="18" t="s">
        <v>558</v>
      </c>
      <c r="G9" s="18" t="s">
        <v>559</v>
      </c>
      <c r="H9" s="18" t="s">
        <v>560</v>
      </c>
      <c r="I9" s="19" t="s">
        <v>561</v>
      </c>
    </row>
    <row r="10" spans="1:9" ht="15.6">
      <c r="B10" s="17" t="s">
        <v>562</v>
      </c>
      <c r="C10" s="18" t="s">
        <v>88</v>
      </c>
      <c r="D10" s="18"/>
      <c r="E10" s="18"/>
      <c r="F10" s="18"/>
      <c r="G10" s="18"/>
      <c r="H10" s="18"/>
      <c r="I10" s="19">
        <v>1.2E-5</v>
      </c>
    </row>
    <row r="11" spans="1:9" ht="15.6">
      <c r="B11" s="17" t="s">
        <v>459</v>
      </c>
      <c r="C11" s="18" t="s">
        <v>88</v>
      </c>
      <c r="D11" s="18" t="s">
        <v>563</v>
      </c>
      <c r="E11" s="18" t="s">
        <v>564</v>
      </c>
      <c r="F11" s="18" t="s">
        <v>565</v>
      </c>
      <c r="G11" s="18" t="s">
        <v>566</v>
      </c>
      <c r="H11" s="18" t="s">
        <v>567</v>
      </c>
      <c r="I11" s="19" t="s">
        <v>568</v>
      </c>
    </row>
    <row r="12" spans="1:9" ht="15.6">
      <c r="B12" s="17" t="s">
        <v>569</v>
      </c>
      <c r="C12" s="18" t="s">
        <v>88</v>
      </c>
      <c r="D12" s="18">
        <v>5.0000000000000002E-5</v>
      </c>
      <c r="E12" s="18">
        <v>2.9999999999999997E-4</v>
      </c>
      <c r="F12" s="18">
        <v>6.0000000000000002E-5</v>
      </c>
      <c r="G12" s="18"/>
      <c r="H12" s="18">
        <v>2.0000000000000002E-5</v>
      </c>
      <c r="I12" s="19">
        <v>1E-4</v>
      </c>
    </row>
    <row r="13" spans="1:9" ht="19.5" customHeight="1">
      <c r="B13" s="17" t="s">
        <v>462</v>
      </c>
      <c r="C13" s="18" t="s">
        <v>88</v>
      </c>
      <c r="D13" s="18" t="s">
        <v>570</v>
      </c>
      <c r="E13" s="18">
        <v>5.0000000000000001E-4</v>
      </c>
      <c r="F13" s="18" t="s">
        <v>571</v>
      </c>
      <c r="G13" s="18" t="s">
        <v>572</v>
      </c>
      <c r="H13" s="18">
        <v>2.7000000000000001E-3</v>
      </c>
      <c r="I13" s="19">
        <v>2.7000000000000001E-3</v>
      </c>
    </row>
    <row r="14" spans="1:9" ht="41.25" customHeight="1">
      <c r="B14" s="17" t="s">
        <v>573</v>
      </c>
      <c r="C14" s="18" t="s">
        <v>88</v>
      </c>
      <c r="D14" s="18">
        <v>1E-3</v>
      </c>
      <c r="E14" s="18"/>
      <c r="F14" s="18">
        <v>3.0000000000000001E-3</v>
      </c>
      <c r="G14" s="18">
        <v>3.0000000000000001E-3</v>
      </c>
      <c r="H14" s="18">
        <v>2.5000000000000001E-3</v>
      </c>
      <c r="I14" s="19" t="s">
        <v>574</v>
      </c>
    </row>
    <row r="15" spans="1:9">
      <c r="B15" s="17" t="s">
        <v>575</v>
      </c>
      <c r="C15" s="18" t="s">
        <v>576</v>
      </c>
      <c r="D15" s="18">
        <v>1.2999999999999999E-2</v>
      </c>
      <c r="E15" s="18"/>
      <c r="F15" s="18">
        <v>3.0000000000000001E-3</v>
      </c>
      <c r="G15" s="18">
        <v>3.0000000000000001E-3</v>
      </c>
      <c r="H15" s="18">
        <v>4.0000000000000001E-3</v>
      </c>
      <c r="I15" s="19">
        <v>4.0000000000000001E-3</v>
      </c>
    </row>
    <row r="16" spans="1:9" ht="13.8" thickBot="1">
      <c r="B16" s="30" t="s">
        <v>452</v>
      </c>
      <c r="C16" s="31" t="s">
        <v>576</v>
      </c>
      <c r="D16" s="31" t="s">
        <v>577</v>
      </c>
      <c r="E16" s="31">
        <v>2E-3</v>
      </c>
      <c r="F16" s="31">
        <v>1</v>
      </c>
      <c r="G16" s="31">
        <v>1</v>
      </c>
      <c r="H16" s="31">
        <v>0.1</v>
      </c>
      <c r="I16" s="32">
        <v>0.1</v>
      </c>
    </row>
    <row r="17" spans="2:9" ht="14.4" thickTop="1" thickBot="1">
      <c r="B17" s="33" t="s">
        <v>416</v>
      </c>
      <c r="C17" s="34" t="s">
        <v>88</v>
      </c>
      <c r="D17" s="34" t="s">
        <v>578</v>
      </c>
      <c r="E17" s="34">
        <v>4.0000000000000001E-3</v>
      </c>
      <c r="F17" s="34">
        <v>6.0000000000000001E-3</v>
      </c>
      <c r="G17" s="34">
        <v>5.0000000000000001E-3</v>
      </c>
      <c r="H17" s="34">
        <v>4.0000000000000001E-3</v>
      </c>
      <c r="I17" s="35">
        <v>4.0000000000000001E-3</v>
      </c>
    </row>
    <row r="29" spans="2:9" ht="18">
      <c r="B29" s="934"/>
    </row>
    <row r="30" spans="2:9">
      <c r="B30" s="935"/>
    </row>
    <row r="31" spans="2:9">
      <c r="B31" s="935"/>
    </row>
    <row r="32" spans="2:9">
      <c r="B32" s="935"/>
    </row>
    <row r="33" spans="2:4">
      <c r="B33" s="935"/>
    </row>
    <row r="34" spans="2:4">
      <c r="B34" s="935"/>
    </row>
    <row r="35" spans="2:4">
      <c r="B35" s="935"/>
    </row>
    <row r="36" spans="2:4">
      <c r="B36" s="935"/>
    </row>
    <row r="37" spans="2:4">
      <c r="B37" s="935"/>
    </row>
    <row r="38" spans="2:4">
      <c r="B38" s="935"/>
    </row>
    <row r="39" spans="2:4">
      <c r="B39" s="935"/>
    </row>
    <row r="40" spans="2:4">
      <c r="B40" s="935"/>
    </row>
    <row r="41" spans="2:4">
      <c r="B41" s="935"/>
    </row>
    <row r="42" spans="2:4">
      <c r="B42" s="935"/>
    </row>
    <row r="43" spans="2:4">
      <c r="B43" s="935"/>
    </row>
    <row r="44" spans="2:4">
      <c r="B44" s="935"/>
    </row>
    <row r="45" spans="2:4">
      <c r="B45" s="935"/>
    </row>
    <row r="46" spans="2:4">
      <c r="B46" s="935"/>
      <c r="D46" s="42"/>
    </row>
    <row r="47" spans="2:4">
      <c r="B47" s="935"/>
    </row>
    <row r="48" spans="2:4">
      <c r="B48" s="936"/>
    </row>
    <row r="49" spans="2:2" ht="18">
      <c r="B49" s="934"/>
    </row>
    <row r="50" spans="2:2" ht="18">
      <c r="B50" s="934"/>
    </row>
    <row r="51" spans="2:2">
      <c r="B51" s="935"/>
    </row>
    <row r="52" spans="2:2">
      <c r="B52" s="935"/>
    </row>
    <row r="53" spans="2:2">
      <c r="B53" s="935"/>
    </row>
    <row r="54" spans="2:2">
      <c r="B54" s="935"/>
    </row>
    <row r="55" spans="2:2">
      <c r="B55" s="935"/>
    </row>
    <row r="56" spans="2:2">
      <c r="B56" s="935"/>
    </row>
    <row r="57" spans="2:2">
      <c r="B57" s="689" t="s">
        <v>2643</v>
      </c>
    </row>
    <row r="58" spans="2:2">
      <c r="B58" s="935"/>
    </row>
    <row r="59" spans="2:2">
      <c r="B59" s="935"/>
    </row>
    <row r="60" spans="2:2">
      <c r="B60" s="935"/>
    </row>
    <row r="61" spans="2:2">
      <c r="B61" s="935"/>
    </row>
    <row r="62" spans="2:2">
      <c r="B62" s="935"/>
    </row>
    <row r="63" spans="2:2">
      <c r="B63" s="935"/>
    </row>
    <row r="64" spans="2:2">
      <c r="B64" s="935"/>
    </row>
    <row r="65" spans="2:2">
      <c r="B65" s="935"/>
    </row>
    <row r="66" spans="2:2">
      <c r="B66" s="935"/>
    </row>
    <row r="67" spans="2:2">
      <c r="B67" s="936"/>
    </row>
    <row r="68" spans="2:2" ht="18">
      <c r="B68" s="934"/>
    </row>
    <row r="70" spans="2:2" ht="18">
      <c r="B70" s="934"/>
    </row>
  </sheetData>
  <mergeCells count="4">
    <mergeCell ref="B3:B4"/>
    <mergeCell ref="C3:C4"/>
    <mergeCell ref="B5:I5"/>
    <mergeCell ref="B7:I7"/>
  </mergeCells>
  <phoneticPr fontId="2" type="noConversion"/>
  <hyperlinks>
    <hyperlink ref="A1" location="'About og Fane-Link'!A1" display="Til Forsiden" xr:uid="{00000000-0004-0000-0600-000000000000}"/>
    <hyperlink ref="B57" r:id="rId1" display="https://www.trafikstyrelsen.dk/~/media/Dokumenter/15 byggeri/Baredygtigt byggeri/Nye emissionsfaktorer for el og fjernvarme plus 260216.pdf" xr:uid="{00000000-0004-0000-0600-000001000000}"/>
  </hyperlinks>
  <pageMargins left="0.75" right="0.75" top="1" bottom="1" header="0" footer="0"/>
  <pageSetup paperSize="9" orientation="portrait" r:id="rId2"/>
  <headerFooter alignWithMargins="0"/>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9"/>
  <sheetViews>
    <sheetView topLeftCell="A25" workbookViewId="0">
      <selection activeCell="K30" sqref="K30"/>
    </sheetView>
  </sheetViews>
  <sheetFormatPr defaultRowHeight="13.2"/>
  <cols>
    <col min="2" max="2" width="17.109375" customWidth="1"/>
    <col min="3" max="3" width="5.88671875" bestFit="1" customWidth="1"/>
    <col min="4" max="4" width="14.88671875" bestFit="1" customWidth="1"/>
    <col min="5" max="5" width="16.6640625" bestFit="1" customWidth="1"/>
    <col min="6" max="6" width="16.5546875" customWidth="1"/>
    <col min="7" max="7" width="9.5546875" style="43" bestFit="1" customWidth="1"/>
    <col min="8" max="8" width="13" customWidth="1"/>
    <col min="12" max="12" width="18.33203125" customWidth="1"/>
    <col min="14" max="14" width="12.6640625" customWidth="1"/>
    <col min="15" max="15" width="12" customWidth="1"/>
    <col min="16" max="16" width="13.5546875" customWidth="1"/>
  </cols>
  <sheetData>
    <row r="1" spans="1:12">
      <c r="A1" s="44" t="s">
        <v>2527</v>
      </c>
    </row>
    <row r="2" spans="1:12" ht="15.6">
      <c r="B2" s="23" t="s">
        <v>598</v>
      </c>
    </row>
    <row r="3" spans="1:12" ht="13.8" thickBot="1"/>
    <row r="4" spans="1:12" ht="36" customHeight="1">
      <c r="B4" s="978" t="s">
        <v>581</v>
      </c>
      <c r="C4" s="980"/>
      <c r="D4" s="96" t="s">
        <v>582</v>
      </c>
      <c r="E4" s="96" t="s">
        <v>584</v>
      </c>
      <c r="F4" s="97" t="s">
        <v>584</v>
      </c>
      <c r="L4" s="688" t="s">
        <v>1903</v>
      </c>
    </row>
    <row r="5" spans="1:12" ht="21" customHeight="1" thickBot="1">
      <c r="B5" s="979"/>
      <c r="C5" s="981"/>
      <c r="D5" s="98" t="s">
        <v>583</v>
      </c>
      <c r="E5" s="98" t="s">
        <v>583</v>
      </c>
      <c r="F5" s="99" t="s">
        <v>585</v>
      </c>
      <c r="L5" s="688" t="s">
        <v>1904</v>
      </c>
    </row>
    <row r="6" spans="1:12" ht="18.600000000000001" thickTop="1">
      <c r="B6" s="24" t="s">
        <v>586</v>
      </c>
      <c r="C6" s="25" t="s">
        <v>402</v>
      </c>
      <c r="D6" s="931">
        <v>600000</v>
      </c>
      <c r="E6" s="931">
        <v>22000</v>
      </c>
      <c r="F6" s="933">
        <v>3.5</v>
      </c>
    </row>
    <row r="7" spans="1:12" ht="15.6">
      <c r="B7" s="24" t="s">
        <v>587</v>
      </c>
      <c r="C7" s="25" t="s">
        <v>506</v>
      </c>
      <c r="D7" s="931">
        <v>3800</v>
      </c>
      <c r="E7" s="932">
        <v>550</v>
      </c>
      <c r="F7" s="933">
        <v>13</v>
      </c>
    </row>
    <row r="8" spans="1:12" ht="18">
      <c r="B8" s="24" t="s">
        <v>588</v>
      </c>
      <c r="C8" s="25" t="s">
        <v>589</v>
      </c>
      <c r="D8" s="931">
        <v>2600</v>
      </c>
      <c r="E8" s="932">
        <v>90</v>
      </c>
      <c r="F8" s="933">
        <v>3</v>
      </c>
    </row>
    <row r="9" spans="1:12" ht="18">
      <c r="B9" s="24" t="s">
        <v>509</v>
      </c>
      <c r="C9" s="25" t="s">
        <v>590</v>
      </c>
      <c r="D9" s="932">
        <v>770</v>
      </c>
      <c r="E9" s="932">
        <v>53</v>
      </c>
      <c r="F9" s="933">
        <v>6.5</v>
      </c>
    </row>
    <row r="10" spans="1:12" ht="18">
      <c r="B10" s="24" t="s">
        <v>591</v>
      </c>
      <c r="C10" s="25" t="s">
        <v>592</v>
      </c>
      <c r="D10" s="932">
        <v>145</v>
      </c>
      <c r="E10" s="932">
        <v>4</v>
      </c>
      <c r="F10" s="933">
        <v>3</v>
      </c>
    </row>
    <row r="11" spans="1:12" ht="18">
      <c r="B11" s="24" t="s">
        <v>593</v>
      </c>
      <c r="C11" s="25" t="s">
        <v>594</v>
      </c>
      <c r="D11" s="931">
        <v>1200</v>
      </c>
      <c r="E11" s="932">
        <v>7</v>
      </c>
      <c r="F11" s="933">
        <v>0.6</v>
      </c>
    </row>
    <row r="12" spans="1:12" ht="18">
      <c r="B12" s="24" t="s">
        <v>595</v>
      </c>
      <c r="C12" s="25" t="s">
        <v>596</v>
      </c>
      <c r="D12" s="932">
        <v>400</v>
      </c>
      <c r="E12" s="932">
        <v>150</v>
      </c>
      <c r="F12" s="933">
        <v>27</v>
      </c>
    </row>
    <row r="13" spans="1:12" ht="15.6">
      <c r="B13" s="24" t="s">
        <v>597</v>
      </c>
      <c r="C13" s="25"/>
      <c r="D13" s="931">
        <v>3700</v>
      </c>
      <c r="E13" s="932">
        <v>246</v>
      </c>
      <c r="F13" s="933">
        <v>6</v>
      </c>
    </row>
    <row r="14" spans="1:12" ht="15.6">
      <c r="B14" s="24"/>
      <c r="C14" s="25"/>
      <c r="D14" s="25"/>
      <c r="E14" s="25"/>
      <c r="F14" s="26"/>
    </row>
    <row r="15" spans="1:12" ht="16.2" thickBot="1">
      <c r="B15" s="27"/>
      <c r="C15" s="28"/>
      <c r="D15" s="28"/>
      <c r="E15" s="28"/>
      <c r="F15" s="29"/>
    </row>
    <row r="17" spans="2:12" ht="13.8" thickBot="1"/>
    <row r="18" spans="2:12" ht="39.6">
      <c r="B18" s="58" t="s">
        <v>192</v>
      </c>
      <c r="C18" s="639"/>
      <c r="D18" s="91" t="s">
        <v>4</v>
      </c>
      <c r="E18" s="91" t="s">
        <v>31</v>
      </c>
      <c r="F18" s="91" t="s">
        <v>7</v>
      </c>
      <c r="G18" s="101" t="s">
        <v>7</v>
      </c>
      <c r="H18" s="94" t="s">
        <v>17</v>
      </c>
    </row>
    <row r="19" spans="2:12">
      <c r="B19" s="75" t="s">
        <v>6</v>
      </c>
      <c r="C19" s="70"/>
      <c r="D19" s="102" t="s">
        <v>5</v>
      </c>
      <c r="E19" s="70" t="s">
        <v>32</v>
      </c>
      <c r="F19" s="102" t="s">
        <v>5</v>
      </c>
      <c r="G19" s="103" t="s">
        <v>19</v>
      </c>
      <c r="H19" s="71" t="s">
        <v>18</v>
      </c>
    </row>
    <row r="20" spans="2:12">
      <c r="B20" s="75"/>
      <c r="C20" s="70"/>
      <c r="D20" s="102"/>
      <c r="E20" s="102"/>
      <c r="F20" s="102"/>
      <c r="G20" s="104"/>
      <c r="H20" s="71"/>
    </row>
    <row r="21" spans="2:12">
      <c r="B21" s="75" t="s">
        <v>0</v>
      </c>
      <c r="C21" s="70"/>
      <c r="D21" s="93">
        <v>3132500</v>
      </c>
      <c r="E21" s="93">
        <v>590</v>
      </c>
      <c r="F21" s="93">
        <v>135400000</v>
      </c>
      <c r="G21" s="103">
        <v>25600</v>
      </c>
      <c r="H21" s="71">
        <v>43</v>
      </c>
    </row>
    <row r="22" spans="2:12">
      <c r="B22" s="75" t="s">
        <v>2</v>
      </c>
      <c r="C22" s="70"/>
      <c r="D22" s="93">
        <v>3038300</v>
      </c>
      <c r="E22" s="93">
        <v>570</v>
      </c>
      <c r="F22" s="93">
        <v>521413000</v>
      </c>
      <c r="G22" s="103">
        <v>98570</v>
      </c>
      <c r="H22" s="71">
        <v>170</v>
      </c>
    </row>
    <row r="23" spans="2:12">
      <c r="B23" s="75" t="s">
        <v>3</v>
      </c>
      <c r="C23" s="70"/>
      <c r="D23" s="93">
        <v>1342200</v>
      </c>
      <c r="E23" s="93"/>
      <c r="F23" s="93">
        <v>519116000</v>
      </c>
      <c r="G23" s="103">
        <v>98130</v>
      </c>
      <c r="H23" s="71">
        <v>390</v>
      </c>
    </row>
    <row r="24" spans="2:12">
      <c r="B24" s="75" t="s">
        <v>8</v>
      </c>
      <c r="C24" s="70"/>
      <c r="D24" s="93">
        <v>2019600</v>
      </c>
      <c r="E24" s="93">
        <v>310</v>
      </c>
      <c r="F24" s="93">
        <v>124000000</v>
      </c>
      <c r="G24" s="103">
        <v>23440</v>
      </c>
      <c r="H24" s="71">
        <v>60</v>
      </c>
    </row>
    <row r="25" spans="2:12">
      <c r="B25" s="75"/>
      <c r="C25" s="70"/>
      <c r="D25" s="70"/>
      <c r="E25" s="70"/>
      <c r="F25" s="70"/>
      <c r="G25" s="103"/>
      <c r="H25" s="71"/>
    </row>
    <row r="26" spans="2:12">
      <c r="B26" s="75"/>
      <c r="C26" s="70"/>
      <c r="D26" s="70"/>
      <c r="E26" s="70"/>
      <c r="F26" s="70"/>
      <c r="G26" s="103"/>
      <c r="H26" s="71"/>
      <c r="L26" s="689" t="s">
        <v>1905</v>
      </c>
    </row>
    <row r="27" spans="2:12">
      <c r="B27" s="75"/>
      <c r="C27" s="70"/>
      <c r="D27" s="70"/>
      <c r="E27" s="70"/>
      <c r="F27" s="70"/>
      <c r="G27" s="103"/>
      <c r="H27" s="71"/>
    </row>
    <row r="28" spans="2:12">
      <c r="B28" s="75" t="s">
        <v>9</v>
      </c>
      <c r="C28" s="70"/>
      <c r="D28" s="93">
        <v>544300</v>
      </c>
      <c r="E28" s="70">
        <v>100</v>
      </c>
      <c r="F28" s="93">
        <v>64648000</v>
      </c>
      <c r="G28" s="105">
        <v>12200</v>
      </c>
      <c r="H28" s="71">
        <v>120</v>
      </c>
    </row>
    <row r="29" spans="2:12">
      <c r="B29" s="75" t="s">
        <v>10</v>
      </c>
      <c r="C29" s="70"/>
      <c r="D29" s="93">
        <v>17900</v>
      </c>
      <c r="E29" s="70">
        <v>3.4</v>
      </c>
      <c r="F29" s="93">
        <v>3488000</v>
      </c>
      <c r="G29" s="105">
        <v>660</v>
      </c>
      <c r="H29" s="71">
        <v>200</v>
      </c>
    </row>
    <row r="30" spans="2:12">
      <c r="B30" s="75" t="s">
        <v>11</v>
      </c>
      <c r="C30" s="70"/>
      <c r="D30" s="93">
        <v>7300</v>
      </c>
      <c r="E30" s="70"/>
      <c r="F30" s="93">
        <v>144000</v>
      </c>
      <c r="G30" s="105">
        <v>30</v>
      </c>
      <c r="H30" s="71">
        <v>20</v>
      </c>
    </row>
    <row r="31" spans="2:12">
      <c r="B31" s="75" t="s">
        <v>12</v>
      </c>
      <c r="C31" s="70"/>
      <c r="D31" s="93">
        <v>8800</v>
      </c>
      <c r="E31" s="70">
        <v>1.7</v>
      </c>
      <c r="F31" s="93">
        <v>321000</v>
      </c>
      <c r="G31" s="105">
        <v>60</v>
      </c>
      <c r="H31" s="71">
        <v>36</v>
      </c>
    </row>
    <row r="32" spans="2:12">
      <c r="B32" s="75" t="s">
        <v>13</v>
      </c>
      <c r="C32" s="70"/>
      <c r="D32" s="93">
        <v>940</v>
      </c>
      <c r="E32" s="70">
        <v>0.18</v>
      </c>
      <c r="F32" s="93">
        <v>49000</v>
      </c>
      <c r="G32" s="105">
        <v>9</v>
      </c>
      <c r="H32" s="71">
        <v>50</v>
      </c>
    </row>
    <row r="33" spans="2:12" ht="15.6">
      <c r="B33" s="75" t="s">
        <v>14</v>
      </c>
      <c r="C33" s="70"/>
      <c r="D33" s="93">
        <v>9500</v>
      </c>
      <c r="E33" s="70">
        <v>1.8</v>
      </c>
      <c r="F33" s="93">
        <v>812000</v>
      </c>
      <c r="G33" s="105">
        <v>150</v>
      </c>
      <c r="H33" s="71">
        <v>86</v>
      </c>
      <c r="L33" s="23"/>
    </row>
    <row r="34" spans="2:12">
      <c r="B34" s="75" t="s">
        <v>15</v>
      </c>
      <c r="C34" s="70"/>
      <c r="D34" s="93">
        <v>4400</v>
      </c>
      <c r="E34" s="70"/>
      <c r="F34" s="93">
        <v>70000</v>
      </c>
      <c r="G34" s="105">
        <v>13</v>
      </c>
      <c r="H34" s="71">
        <v>20</v>
      </c>
    </row>
    <row r="35" spans="2:12">
      <c r="B35" s="75" t="s">
        <v>16</v>
      </c>
      <c r="C35" s="70"/>
      <c r="D35" s="93">
        <v>200</v>
      </c>
      <c r="E35" s="70"/>
      <c r="F35" s="93">
        <v>5900</v>
      </c>
      <c r="G35" s="103">
        <v>1.1000000000000001</v>
      </c>
      <c r="H35" s="71">
        <v>27</v>
      </c>
    </row>
    <row r="36" spans="2:12">
      <c r="B36" s="75" t="s">
        <v>33</v>
      </c>
      <c r="C36" s="70"/>
      <c r="D36" s="93"/>
      <c r="E36" s="70">
        <v>0.75</v>
      </c>
      <c r="F36" s="93"/>
      <c r="G36" s="105">
        <v>79</v>
      </c>
      <c r="H36" s="71">
        <v>106</v>
      </c>
    </row>
    <row r="37" spans="2:12">
      <c r="B37" s="75" t="s">
        <v>20</v>
      </c>
      <c r="C37" s="70"/>
      <c r="D37" s="70"/>
      <c r="E37" s="70"/>
      <c r="F37" s="70"/>
      <c r="G37" s="103">
        <v>0.15</v>
      </c>
      <c r="H37" s="71"/>
    </row>
    <row r="38" spans="2:12">
      <c r="B38" s="75" t="s">
        <v>21</v>
      </c>
      <c r="C38" s="70"/>
      <c r="D38" s="70"/>
      <c r="E38" s="70"/>
      <c r="F38" s="70"/>
      <c r="G38" s="103">
        <v>1.0999999999999999E-2</v>
      </c>
      <c r="H38" s="71"/>
    </row>
    <row r="39" spans="2:12">
      <c r="B39" s="75" t="s">
        <v>22</v>
      </c>
      <c r="C39" s="70"/>
      <c r="D39" s="70"/>
      <c r="E39" s="70"/>
      <c r="F39" s="70"/>
      <c r="G39" s="103">
        <v>8.0000000000000002E-3</v>
      </c>
      <c r="H39" s="71"/>
    </row>
    <row r="40" spans="2:12">
      <c r="B40" s="75" t="s">
        <v>23</v>
      </c>
      <c r="C40" s="70"/>
      <c r="D40" s="70"/>
      <c r="E40" s="70"/>
      <c r="F40" s="70"/>
      <c r="G40" s="103">
        <v>4.7E-2</v>
      </c>
      <c r="H40" s="71"/>
    </row>
    <row r="41" spans="2:12">
      <c r="B41" s="75" t="s">
        <v>24</v>
      </c>
      <c r="C41" s="70"/>
      <c r="D41" s="70"/>
      <c r="E41" s="70"/>
      <c r="F41" s="70"/>
      <c r="G41" s="103">
        <v>1</v>
      </c>
      <c r="H41" s="71"/>
    </row>
    <row r="42" spans="2:12">
      <c r="B42" s="75" t="s">
        <v>25</v>
      </c>
      <c r="C42" s="70"/>
      <c r="D42" s="70"/>
      <c r="E42" s="70"/>
      <c r="F42" s="70"/>
      <c r="G42" s="103">
        <v>1</v>
      </c>
      <c r="H42" s="71"/>
    </row>
    <row r="43" spans="2:12">
      <c r="B43" s="75" t="s">
        <v>26</v>
      </c>
      <c r="C43" s="70"/>
      <c r="D43" s="70"/>
      <c r="E43" s="70"/>
      <c r="F43" s="70"/>
      <c r="G43" s="103">
        <v>4</v>
      </c>
      <c r="H43" s="71"/>
    </row>
    <row r="44" spans="2:12">
      <c r="B44" s="75" t="s">
        <v>27</v>
      </c>
      <c r="C44" s="70"/>
      <c r="D44" s="70"/>
      <c r="E44" s="70"/>
      <c r="F44" s="70"/>
      <c r="G44" s="103">
        <v>0.23</v>
      </c>
      <c r="H44" s="71"/>
    </row>
    <row r="45" spans="2:12">
      <c r="B45" s="75" t="s">
        <v>28</v>
      </c>
      <c r="C45" s="70"/>
      <c r="D45" s="70"/>
      <c r="E45" s="70"/>
      <c r="F45" s="70"/>
      <c r="G45" s="103">
        <v>3.7999999999999999E-2</v>
      </c>
      <c r="H45" s="71"/>
    </row>
    <row r="46" spans="2:12">
      <c r="B46" s="75" t="s">
        <v>29</v>
      </c>
      <c r="C46" s="70"/>
      <c r="D46" s="70"/>
      <c r="E46" s="70"/>
      <c r="F46" s="70"/>
      <c r="G46" s="103">
        <v>0.11</v>
      </c>
      <c r="H46" s="71"/>
    </row>
    <row r="47" spans="2:12">
      <c r="B47" s="75" t="s">
        <v>30</v>
      </c>
      <c r="C47" s="70"/>
      <c r="D47" s="70"/>
      <c r="E47" s="70"/>
      <c r="F47" s="70"/>
      <c r="G47" s="103">
        <v>8.0000000000000002E-3</v>
      </c>
      <c r="H47" s="71"/>
    </row>
    <row r="48" spans="2:12" ht="13.8" thickBot="1">
      <c r="B48" s="76"/>
      <c r="C48" s="640"/>
      <c r="D48" s="640"/>
      <c r="E48" s="640"/>
      <c r="F48" s="640"/>
      <c r="G48" s="106"/>
      <c r="H48" s="74"/>
    </row>
    <row r="49" spans="7:7">
      <c r="G49"/>
    </row>
  </sheetData>
  <mergeCells count="2">
    <mergeCell ref="B4:B5"/>
    <mergeCell ref="C4:C5"/>
  </mergeCells>
  <phoneticPr fontId="2" type="noConversion"/>
  <hyperlinks>
    <hyperlink ref="L26" r:id="rId1" display="http://www.polynet.dk/lenau/niki_bey_phd_thesis.pdf" xr:uid="{00000000-0004-0000-0700-000000000000}"/>
    <hyperlink ref="A1" location="'About og Fane-Link'!A1" display="Til Forsiden" xr:uid="{00000000-0004-0000-0700-000001000000}"/>
  </hyperlinks>
  <pageMargins left="0.75" right="0.75" top="1" bottom="1" header="0" footer="0"/>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N142"/>
  <sheetViews>
    <sheetView zoomScaleNormal="100" workbookViewId="0">
      <pane ySplit="4" topLeftCell="A194" activePane="bottomLeft" state="frozen"/>
      <selection pane="bottomLeft" activeCell="N39" sqref="N39"/>
    </sheetView>
  </sheetViews>
  <sheetFormatPr defaultRowHeight="13.2"/>
  <cols>
    <col min="2" max="2" width="25" bestFit="1" customWidth="1"/>
    <col min="3" max="3" width="11.6640625" customWidth="1"/>
    <col min="4" max="4" width="11" bestFit="1" customWidth="1"/>
    <col min="7" max="7" width="8.109375" customWidth="1"/>
    <col min="8" max="8" width="10.109375" customWidth="1"/>
    <col min="9" max="10" width="11.44140625" customWidth="1"/>
    <col min="11" max="11" width="11.6640625" bestFit="1" customWidth="1"/>
    <col min="12" max="12" width="15" customWidth="1"/>
    <col min="13" max="14" width="22.5546875" bestFit="1" customWidth="1"/>
    <col min="16" max="16" width="12.109375" bestFit="1" customWidth="1"/>
  </cols>
  <sheetData>
    <row r="1" spans="1:14">
      <c r="A1" s="44" t="s">
        <v>2527</v>
      </c>
    </row>
    <row r="2" spans="1:14">
      <c r="C2" t="s">
        <v>148</v>
      </c>
    </row>
    <row r="3" spans="1:14" s="2" customFormat="1" ht="63" customHeight="1">
      <c r="B3" s="15" t="s">
        <v>34</v>
      </c>
      <c r="C3" s="15" t="s">
        <v>51</v>
      </c>
      <c r="D3" s="15" t="s">
        <v>49</v>
      </c>
      <c r="E3" s="15" t="s">
        <v>82</v>
      </c>
      <c r="F3" s="15" t="s">
        <v>397</v>
      </c>
      <c r="G3" s="15" t="s">
        <v>83</v>
      </c>
      <c r="H3" s="15" t="s">
        <v>149</v>
      </c>
      <c r="I3" s="15" t="s">
        <v>150</v>
      </c>
      <c r="J3" s="15" t="s">
        <v>198</v>
      </c>
      <c r="K3" s="15" t="s">
        <v>194</v>
      </c>
      <c r="L3" s="15" t="s">
        <v>195</v>
      </c>
      <c r="M3" s="15" t="s">
        <v>196</v>
      </c>
      <c r="N3" s="15" t="s">
        <v>197</v>
      </c>
    </row>
    <row r="4" spans="1:14">
      <c r="B4" s="4"/>
      <c r="C4" s="4" t="s">
        <v>50</v>
      </c>
      <c r="D4" s="4" t="s">
        <v>50</v>
      </c>
      <c r="E4" s="4" t="s">
        <v>50</v>
      </c>
      <c r="F4" s="4" t="s">
        <v>50</v>
      </c>
      <c r="G4" s="4" t="s">
        <v>50</v>
      </c>
      <c r="H4" s="4" t="s">
        <v>50</v>
      </c>
      <c r="I4" s="4" t="s">
        <v>50</v>
      </c>
      <c r="J4" s="4" t="s">
        <v>208</v>
      </c>
      <c r="K4" s="4"/>
      <c r="L4" s="4"/>
      <c r="M4" s="4"/>
      <c r="N4" s="4"/>
    </row>
    <row r="5" spans="1:14">
      <c r="B5" t="s">
        <v>10</v>
      </c>
      <c r="C5">
        <v>170</v>
      </c>
      <c r="D5">
        <v>0</v>
      </c>
      <c r="E5">
        <v>30</v>
      </c>
      <c r="H5">
        <v>170</v>
      </c>
      <c r="J5" t="s">
        <v>206</v>
      </c>
      <c r="K5" t="s">
        <v>201</v>
      </c>
      <c r="L5" t="s">
        <v>202</v>
      </c>
      <c r="M5" t="s">
        <v>203</v>
      </c>
      <c r="N5" t="s">
        <v>203</v>
      </c>
    </row>
    <row r="6" spans="1:14">
      <c r="B6" t="s">
        <v>205</v>
      </c>
      <c r="C6">
        <v>30</v>
      </c>
    </row>
    <row r="7" spans="1:14">
      <c r="B7" t="s">
        <v>35</v>
      </c>
      <c r="C7">
        <v>60</v>
      </c>
      <c r="D7">
        <v>25</v>
      </c>
    </row>
    <row r="8" spans="1:14">
      <c r="B8" t="s">
        <v>36</v>
      </c>
      <c r="C8">
        <v>7</v>
      </c>
      <c r="D8">
        <v>0</v>
      </c>
    </row>
    <row r="9" spans="1:14">
      <c r="B9" t="s">
        <v>37</v>
      </c>
      <c r="C9">
        <v>80</v>
      </c>
      <c r="D9">
        <v>20</v>
      </c>
    </row>
    <row r="10" spans="1:14">
      <c r="B10" t="s">
        <v>38</v>
      </c>
      <c r="C10">
        <v>50</v>
      </c>
      <c r="D10">
        <v>40</v>
      </c>
    </row>
    <row r="11" spans="1:14">
      <c r="B11" t="s">
        <v>15</v>
      </c>
      <c r="C11">
        <v>29</v>
      </c>
      <c r="J11" t="s">
        <v>216</v>
      </c>
      <c r="K11" t="s">
        <v>201</v>
      </c>
      <c r="L11" t="s">
        <v>202</v>
      </c>
      <c r="M11" t="s">
        <v>214</v>
      </c>
      <c r="N11" t="s">
        <v>214</v>
      </c>
    </row>
    <row r="12" spans="1:14">
      <c r="B12" t="s">
        <v>255</v>
      </c>
      <c r="C12" t="s">
        <v>256</v>
      </c>
      <c r="D12">
        <v>20</v>
      </c>
      <c r="K12" t="s">
        <v>201</v>
      </c>
      <c r="L12" t="s">
        <v>202</v>
      </c>
      <c r="M12" t="s">
        <v>257</v>
      </c>
      <c r="N12" t="s">
        <v>258</v>
      </c>
    </row>
    <row r="13" spans="1:14">
      <c r="B13" t="s">
        <v>27</v>
      </c>
      <c r="C13">
        <v>55</v>
      </c>
    </row>
    <row r="14" spans="1:14">
      <c r="B14" t="s">
        <v>39</v>
      </c>
      <c r="C14">
        <v>0.14000000000000001</v>
      </c>
      <c r="D14">
        <v>0</v>
      </c>
    </row>
    <row r="15" spans="1:14">
      <c r="B15" t="s">
        <v>250</v>
      </c>
      <c r="C15">
        <v>7</v>
      </c>
      <c r="K15" t="s">
        <v>248</v>
      </c>
      <c r="L15" t="s">
        <v>251</v>
      </c>
      <c r="M15" t="s">
        <v>203</v>
      </c>
      <c r="N15" t="s">
        <v>203</v>
      </c>
    </row>
    <row r="16" spans="1:14">
      <c r="B16" t="s">
        <v>253</v>
      </c>
      <c r="C16">
        <v>7</v>
      </c>
      <c r="K16" t="s">
        <v>248</v>
      </c>
      <c r="L16" t="s">
        <v>251</v>
      </c>
      <c r="M16" t="s">
        <v>203</v>
      </c>
      <c r="N16" t="s">
        <v>203</v>
      </c>
    </row>
    <row r="17" spans="2:14">
      <c r="B17" t="s">
        <v>40</v>
      </c>
      <c r="C17">
        <v>10</v>
      </c>
      <c r="D17">
        <v>0</v>
      </c>
      <c r="E17">
        <v>7</v>
      </c>
      <c r="H17">
        <v>10</v>
      </c>
      <c r="I17">
        <v>0</v>
      </c>
      <c r="K17" t="s">
        <v>201</v>
      </c>
      <c r="L17" t="s">
        <v>202</v>
      </c>
      <c r="M17" t="s">
        <v>203</v>
      </c>
      <c r="N17" t="s">
        <v>203</v>
      </c>
    </row>
    <row r="18" spans="2:14">
      <c r="B18" t="s">
        <v>247</v>
      </c>
      <c r="C18">
        <v>12</v>
      </c>
      <c r="K18" t="s">
        <v>248</v>
      </c>
      <c r="L18" t="s">
        <v>241</v>
      </c>
      <c r="M18" t="s">
        <v>203</v>
      </c>
      <c r="N18" t="s">
        <v>203</v>
      </c>
    </row>
    <row r="19" spans="2:14">
      <c r="B19" t="s">
        <v>249</v>
      </c>
      <c r="C19">
        <v>27</v>
      </c>
      <c r="K19" t="s">
        <v>248</v>
      </c>
      <c r="L19" t="s">
        <v>241</v>
      </c>
      <c r="M19" t="s">
        <v>203</v>
      </c>
      <c r="N19" t="s">
        <v>203</v>
      </c>
    </row>
    <row r="20" spans="2:14">
      <c r="B20" t="s">
        <v>21</v>
      </c>
      <c r="J20" t="s">
        <v>221</v>
      </c>
      <c r="K20" t="s">
        <v>201</v>
      </c>
      <c r="L20" t="s">
        <v>222</v>
      </c>
      <c r="M20" t="s">
        <v>203</v>
      </c>
      <c r="N20" t="s">
        <v>203</v>
      </c>
    </row>
    <row r="21" spans="2:14">
      <c r="B21" t="s">
        <v>209</v>
      </c>
      <c r="C21">
        <v>90</v>
      </c>
      <c r="D21">
        <v>0</v>
      </c>
      <c r="E21">
        <v>50</v>
      </c>
      <c r="H21">
        <v>90</v>
      </c>
      <c r="J21" t="s">
        <v>207</v>
      </c>
    </row>
    <row r="22" spans="2:14">
      <c r="B22" t="s">
        <v>210</v>
      </c>
      <c r="C22">
        <v>25</v>
      </c>
      <c r="K22" t="s">
        <v>201</v>
      </c>
      <c r="L22" t="s">
        <v>202</v>
      </c>
      <c r="M22" t="s">
        <v>204</v>
      </c>
      <c r="N22" t="s">
        <v>211</v>
      </c>
    </row>
    <row r="23" spans="2:14">
      <c r="B23" t="s">
        <v>41</v>
      </c>
      <c r="C23">
        <v>80</v>
      </c>
      <c r="D23">
        <v>20</v>
      </c>
    </row>
    <row r="24" spans="2:14">
      <c r="B24" t="s">
        <v>42</v>
      </c>
      <c r="C24">
        <v>12</v>
      </c>
      <c r="D24">
        <v>0</v>
      </c>
    </row>
    <row r="25" spans="2:14">
      <c r="B25" t="s">
        <v>267</v>
      </c>
      <c r="C25">
        <v>5</v>
      </c>
      <c r="K25" t="s">
        <v>228</v>
      </c>
      <c r="L25" t="s">
        <v>241</v>
      </c>
      <c r="M25" t="s">
        <v>203</v>
      </c>
      <c r="N25" t="s">
        <v>259</v>
      </c>
    </row>
    <row r="26" spans="2:14">
      <c r="B26" t="s">
        <v>43</v>
      </c>
      <c r="C26">
        <v>0.4</v>
      </c>
      <c r="D26">
        <v>0</v>
      </c>
    </row>
    <row r="27" spans="2:14">
      <c r="B27" t="s">
        <v>268</v>
      </c>
      <c r="C27">
        <v>35</v>
      </c>
      <c r="K27" t="s">
        <v>228</v>
      </c>
      <c r="L27" t="s">
        <v>241</v>
      </c>
      <c r="M27" t="s">
        <v>203</v>
      </c>
      <c r="N27" t="s">
        <v>259</v>
      </c>
    </row>
    <row r="28" spans="2:14">
      <c r="B28" t="s">
        <v>269</v>
      </c>
      <c r="C28">
        <v>29</v>
      </c>
      <c r="K28" t="s">
        <v>228</v>
      </c>
      <c r="L28" t="s">
        <v>241</v>
      </c>
      <c r="M28" t="s">
        <v>203</v>
      </c>
      <c r="N28" t="s">
        <v>259</v>
      </c>
    </row>
    <row r="29" spans="2:14">
      <c r="B29" t="s">
        <v>270</v>
      </c>
      <c r="C29">
        <v>9</v>
      </c>
      <c r="K29" t="s">
        <v>228</v>
      </c>
      <c r="L29" t="s">
        <v>241</v>
      </c>
      <c r="M29" t="s">
        <v>203</v>
      </c>
      <c r="N29" t="s">
        <v>259</v>
      </c>
    </row>
    <row r="30" spans="2:14">
      <c r="B30" t="s">
        <v>273</v>
      </c>
    </row>
    <row r="31" spans="2:14">
      <c r="B31" t="s">
        <v>274</v>
      </c>
      <c r="C31">
        <v>50</v>
      </c>
    </row>
    <row r="32" spans="2:14">
      <c r="B32" t="s">
        <v>275</v>
      </c>
      <c r="C32">
        <v>55</v>
      </c>
    </row>
    <row r="33" spans="2:14">
      <c r="B33" t="s">
        <v>276</v>
      </c>
      <c r="C33">
        <v>1500</v>
      </c>
    </row>
    <row r="34" spans="2:14">
      <c r="B34" t="s">
        <v>277</v>
      </c>
      <c r="C34">
        <v>5</v>
      </c>
    </row>
    <row r="35" spans="2:14">
      <c r="B35" t="s">
        <v>278</v>
      </c>
      <c r="C35">
        <v>20</v>
      </c>
    </row>
    <row r="36" spans="2:14">
      <c r="B36" t="s">
        <v>279</v>
      </c>
      <c r="C36">
        <v>22</v>
      </c>
    </row>
    <row r="38" spans="2:14">
      <c r="B38" t="s">
        <v>44</v>
      </c>
      <c r="C38">
        <v>12</v>
      </c>
      <c r="D38">
        <v>40</v>
      </c>
    </row>
    <row r="39" spans="2:14">
      <c r="B39" t="s">
        <v>218</v>
      </c>
      <c r="J39" t="s">
        <v>219</v>
      </c>
      <c r="K39" t="s">
        <v>201</v>
      </c>
      <c r="L39" t="s">
        <v>220</v>
      </c>
      <c r="M39" t="s">
        <v>204</v>
      </c>
    </row>
    <row r="40" spans="2:14">
      <c r="B40" t="s">
        <v>45</v>
      </c>
      <c r="C40">
        <v>150</v>
      </c>
      <c r="D40">
        <v>0</v>
      </c>
      <c r="H40">
        <v>150</v>
      </c>
    </row>
    <row r="41" spans="2:14">
      <c r="B41" t="s">
        <v>52</v>
      </c>
      <c r="C41">
        <v>24</v>
      </c>
      <c r="D41">
        <v>5</v>
      </c>
    </row>
    <row r="42" spans="2:14">
      <c r="B42" t="s">
        <v>46</v>
      </c>
      <c r="C42">
        <v>14</v>
      </c>
      <c r="D42">
        <v>30</v>
      </c>
    </row>
    <row r="43" spans="2:14">
      <c r="B43" t="s">
        <v>47</v>
      </c>
      <c r="C43">
        <v>80</v>
      </c>
      <c r="D43">
        <v>0</v>
      </c>
    </row>
    <row r="44" spans="2:14">
      <c r="B44" t="s">
        <v>272</v>
      </c>
      <c r="C44">
        <v>4</v>
      </c>
      <c r="K44" t="s">
        <v>228</v>
      </c>
      <c r="L44" t="s">
        <v>241</v>
      </c>
      <c r="M44" t="s">
        <v>203</v>
      </c>
      <c r="N44" t="s">
        <v>259</v>
      </c>
    </row>
    <row r="45" spans="2:14">
      <c r="B45" t="s">
        <v>48</v>
      </c>
      <c r="C45">
        <v>1.2</v>
      </c>
      <c r="D45">
        <v>0</v>
      </c>
    </row>
    <row r="46" spans="2:14">
      <c r="B46" t="s">
        <v>53</v>
      </c>
      <c r="C46">
        <v>38</v>
      </c>
      <c r="D46">
        <v>0</v>
      </c>
    </row>
    <row r="47" spans="2:14">
      <c r="B47" t="s">
        <v>54</v>
      </c>
      <c r="C47">
        <v>3.4</v>
      </c>
      <c r="D47">
        <v>49</v>
      </c>
    </row>
    <row r="48" spans="2:14">
      <c r="B48" t="s">
        <v>217</v>
      </c>
      <c r="C48">
        <v>190</v>
      </c>
      <c r="D48">
        <v>0</v>
      </c>
      <c r="K48" t="s">
        <v>201</v>
      </c>
      <c r="L48" t="s">
        <v>202</v>
      </c>
      <c r="M48" t="s">
        <v>204</v>
      </c>
    </row>
    <row r="49" spans="2:14">
      <c r="B49" t="s">
        <v>55</v>
      </c>
      <c r="C49">
        <v>7</v>
      </c>
      <c r="D49">
        <v>0</v>
      </c>
    </row>
    <row r="50" spans="2:14">
      <c r="B50" t="s">
        <v>56</v>
      </c>
      <c r="C50">
        <v>50</v>
      </c>
      <c r="D50">
        <v>45</v>
      </c>
    </row>
    <row r="51" spans="2:14">
      <c r="B51" t="s">
        <v>57</v>
      </c>
      <c r="C51">
        <v>45</v>
      </c>
      <c r="D51">
        <v>40</v>
      </c>
    </row>
    <row r="52" spans="2:14">
      <c r="B52" t="s">
        <v>58</v>
      </c>
      <c r="C52">
        <v>80</v>
      </c>
      <c r="D52">
        <v>25</v>
      </c>
    </row>
    <row r="53" spans="2:14">
      <c r="B53" t="s">
        <v>59</v>
      </c>
      <c r="C53">
        <v>60</v>
      </c>
      <c r="D53">
        <v>3</v>
      </c>
    </row>
    <row r="54" spans="2:14">
      <c r="B54" t="s">
        <v>60</v>
      </c>
      <c r="C54">
        <v>7</v>
      </c>
      <c r="D54">
        <v>0</v>
      </c>
    </row>
    <row r="55" spans="2:14">
      <c r="B55" t="s">
        <v>61</v>
      </c>
      <c r="C55">
        <v>40</v>
      </c>
      <c r="D55">
        <v>20</v>
      </c>
      <c r="F55">
        <v>10</v>
      </c>
      <c r="H55">
        <v>40</v>
      </c>
      <c r="I55">
        <v>15</v>
      </c>
      <c r="K55" t="s">
        <v>201</v>
      </c>
      <c r="L55" t="s">
        <v>202</v>
      </c>
      <c r="M55" t="s">
        <v>203</v>
      </c>
      <c r="N55" t="s">
        <v>259</v>
      </c>
    </row>
    <row r="57" spans="2:14">
      <c r="B57" t="s">
        <v>84</v>
      </c>
      <c r="G57">
        <v>6</v>
      </c>
    </row>
    <row r="58" spans="2:14">
      <c r="B58" t="s">
        <v>230</v>
      </c>
      <c r="C58">
        <v>75</v>
      </c>
      <c r="K58" t="s">
        <v>228</v>
      </c>
      <c r="L58" t="s">
        <v>231</v>
      </c>
      <c r="M58" t="s">
        <v>232</v>
      </c>
    </row>
    <row r="59" spans="2:14">
      <c r="B59" t="s">
        <v>62</v>
      </c>
      <c r="C59">
        <v>95</v>
      </c>
      <c r="D59">
        <v>40</v>
      </c>
      <c r="H59">
        <v>95</v>
      </c>
      <c r="I59">
        <v>30</v>
      </c>
      <c r="K59" t="s">
        <v>228</v>
      </c>
      <c r="L59" t="s">
        <v>229</v>
      </c>
      <c r="M59" t="s">
        <v>226</v>
      </c>
      <c r="N59" t="s">
        <v>227</v>
      </c>
    </row>
    <row r="60" spans="2:14">
      <c r="B60" t="s">
        <v>63</v>
      </c>
      <c r="C60">
        <v>79</v>
      </c>
      <c r="D60">
        <v>48</v>
      </c>
      <c r="H60">
        <v>80</v>
      </c>
      <c r="I60">
        <v>30</v>
      </c>
    </row>
    <row r="61" spans="2:14">
      <c r="B61" t="s">
        <v>233</v>
      </c>
      <c r="C61">
        <v>140</v>
      </c>
      <c r="D61">
        <v>30</v>
      </c>
      <c r="H61">
        <v>140</v>
      </c>
      <c r="I61">
        <v>25</v>
      </c>
      <c r="K61" t="s">
        <v>228</v>
      </c>
      <c r="L61" t="s">
        <v>234</v>
      </c>
      <c r="M61" t="s">
        <v>226</v>
      </c>
    </row>
    <row r="62" spans="2:14">
      <c r="B62" t="s">
        <v>64</v>
      </c>
      <c r="C62">
        <v>115</v>
      </c>
      <c r="D62">
        <v>30</v>
      </c>
      <c r="H62">
        <v>115</v>
      </c>
      <c r="I62">
        <v>25</v>
      </c>
      <c r="K62" t="s">
        <v>228</v>
      </c>
      <c r="L62" t="s">
        <v>234</v>
      </c>
      <c r="M62" t="s">
        <v>203</v>
      </c>
    </row>
    <row r="63" spans="2:14">
      <c r="B63" t="s">
        <v>65</v>
      </c>
      <c r="C63">
        <v>75</v>
      </c>
      <c r="D63">
        <v>40</v>
      </c>
      <c r="H63">
        <v>75</v>
      </c>
      <c r="I63">
        <v>30</v>
      </c>
      <c r="K63" t="s">
        <v>228</v>
      </c>
      <c r="L63" t="s">
        <v>235</v>
      </c>
      <c r="M63" t="s">
        <v>203</v>
      </c>
      <c r="N63" t="s">
        <v>236</v>
      </c>
    </row>
    <row r="64" spans="2:14">
      <c r="B64" t="s">
        <v>237</v>
      </c>
      <c r="C64">
        <v>80</v>
      </c>
      <c r="D64">
        <v>30</v>
      </c>
      <c r="H64">
        <v>80</v>
      </c>
      <c r="I64">
        <v>25</v>
      </c>
      <c r="K64" t="s">
        <v>201</v>
      </c>
      <c r="L64" t="s">
        <v>202</v>
      </c>
      <c r="M64" t="s">
        <v>203</v>
      </c>
      <c r="N64" t="s">
        <v>236</v>
      </c>
    </row>
    <row r="65" spans="2:14">
      <c r="B65" t="s">
        <v>66</v>
      </c>
      <c r="C65">
        <v>110</v>
      </c>
      <c r="D65">
        <v>40</v>
      </c>
      <c r="H65">
        <v>110</v>
      </c>
      <c r="I65">
        <v>30</v>
      </c>
      <c r="K65" t="s">
        <v>228</v>
      </c>
      <c r="M65" t="s">
        <v>238</v>
      </c>
    </row>
    <row r="66" spans="2:14">
      <c r="B66" t="s">
        <v>67</v>
      </c>
      <c r="C66">
        <v>84</v>
      </c>
      <c r="D66">
        <v>45</v>
      </c>
    </row>
    <row r="67" spans="2:14">
      <c r="B67" t="s">
        <v>68</v>
      </c>
      <c r="C67">
        <v>80</v>
      </c>
      <c r="D67">
        <v>40</v>
      </c>
      <c r="H67">
        <v>80</v>
      </c>
      <c r="K67" t="s">
        <v>228</v>
      </c>
      <c r="L67" t="s">
        <v>235</v>
      </c>
      <c r="M67" t="s">
        <v>203</v>
      </c>
      <c r="N67" t="s">
        <v>236</v>
      </c>
    </row>
    <row r="68" spans="2:14">
      <c r="B68" t="s">
        <v>69</v>
      </c>
      <c r="C68">
        <v>90</v>
      </c>
      <c r="D68">
        <v>40</v>
      </c>
      <c r="H68">
        <v>90</v>
      </c>
      <c r="I68">
        <v>30</v>
      </c>
      <c r="K68" t="s">
        <v>197</v>
      </c>
      <c r="L68" t="s">
        <v>229</v>
      </c>
      <c r="M68" t="s">
        <v>239</v>
      </c>
      <c r="N68" t="s">
        <v>240</v>
      </c>
    </row>
    <row r="69" spans="2:14">
      <c r="B69" t="s">
        <v>70</v>
      </c>
      <c r="C69">
        <v>110</v>
      </c>
      <c r="D69">
        <v>30</v>
      </c>
      <c r="H69">
        <v>110</v>
      </c>
      <c r="I69">
        <v>25</v>
      </c>
      <c r="K69" t="s">
        <v>228</v>
      </c>
      <c r="L69" t="s">
        <v>241</v>
      </c>
      <c r="M69" t="s">
        <v>203</v>
      </c>
    </row>
    <row r="70" spans="2:14">
      <c r="B70" t="s">
        <v>242</v>
      </c>
      <c r="C70">
        <v>60</v>
      </c>
      <c r="K70" t="s">
        <v>197</v>
      </c>
      <c r="L70" t="s">
        <v>229</v>
      </c>
      <c r="M70" t="s">
        <v>203</v>
      </c>
    </row>
    <row r="71" spans="2:14">
      <c r="B71" t="s">
        <v>71</v>
      </c>
      <c r="C71">
        <v>65</v>
      </c>
      <c r="D71">
        <v>20</v>
      </c>
      <c r="H71">
        <v>65</v>
      </c>
      <c r="I71">
        <v>15</v>
      </c>
      <c r="K71" t="s">
        <v>243</v>
      </c>
      <c r="L71" t="s">
        <v>244</v>
      </c>
      <c r="M71" t="s">
        <v>245</v>
      </c>
      <c r="N71" t="s">
        <v>203</v>
      </c>
    </row>
    <row r="72" spans="2:14">
      <c r="B72" t="s">
        <v>72</v>
      </c>
      <c r="C72">
        <v>90</v>
      </c>
      <c r="D72">
        <v>40</v>
      </c>
      <c r="H72">
        <v>90</v>
      </c>
      <c r="I72">
        <v>30</v>
      </c>
    </row>
    <row r="73" spans="2:14">
      <c r="B73" t="s">
        <v>246</v>
      </c>
      <c r="C73">
        <v>300</v>
      </c>
      <c r="K73" t="s">
        <v>228</v>
      </c>
      <c r="L73" t="s">
        <v>229</v>
      </c>
      <c r="M73" t="s">
        <v>203</v>
      </c>
      <c r="N73" t="s">
        <v>203</v>
      </c>
    </row>
    <row r="74" spans="2:14">
      <c r="B74" t="s">
        <v>30</v>
      </c>
      <c r="J74" t="s">
        <v>224</v>
      </c>
      <c r="K74" t="s">
        <v>201</v>
      </c>
      <c r="L74" t="s">
        <v>225</v>
      </c>
      <c r="M74" t="s">
        <v>203</v>
      </c>
      <c r="N74" t="s">
        <v>203</v>
      </c>
    </row>
    <row r="75" spans="2:14">
      <c r="B75" t="s">
        <v>73</v>
      </c>
      <c r="C75">
        <v>35</v>
      </c>
      <c r="D75">
        <v>46</v>
      </c>
    </row>
    <row r="76" spans="2:14">
      <c r="B76" t="s">
        <v>74</v>
      </c>
      <c r="C76">
        <v>46</v>
      </c>
      <c r="D76">
        <v>0</v>
      </c>
      <c r="E76">
        <v>40</v>
      </c>
      <c r="H76">
        <v>40</v>
      </c>
      <c r="K76" t="s">
        <v>201</v>
      </c>
      <c r="L76" t="s">
        <v>202</v>
      </c>
      <c r="M76" t="s">
        <v>204</v>
      </c>
    </row>
    <row r="77" spans="2:14">
      <c r="B77" t="s">
        <v>75</v>
      </c>
      <c r="C77">
        <v>220</v>
      </c>
      <c r="D77">
        <v>0</v>
      </c>
    </row>
    <row r="78" spans="2:14">
      <c r="B78" t="s">
        <v>76</v>
      </c>
      <c r="C78">
        <v>30</v>
      </c>
      <c r="D78">
        <v>0</v>
      </c>
    </row>
    <row r="79" spans="2:14">
      <c r="B79" t="s">
        <v>20</v>
      </c>
      <c r="C79">
        <v>110</v>
      </c>
      <c r="J79" t="s">
        <v>216</v>
      </c>
      <c r="K79" t="s">
        <v>201</v>
      </c>
      <c r="L79" t="s">
        <v>223</v>
      </c>
      <c r="M79" t="s">
        <v>203</v>
      </c>
      <c r="N79" t="s">
        <v>203</v>
      </c>
    </row>
    <row r="80" spans="2:14">
      <c r="B80" t="s">
        <v>254</v>
      </c>
      <c r="C80">
        <v>13</v>
      </c>
      <c r="K80" t="s">
        <v>248</v>
      </c>
      <c r="L80" t="s">
        <v>251</v>
      </c>
      <c r="M80" t="s">
        <v>203</v>
      </c>
      <c r="N80" t="s">
        <v>203</v>
      </c>
    </row>
    <row r="81" spans="2:14">
      <c r="B81" t="s">
        <v>193</v>
      </c>
      <c r="C81">
        <v>40</v>
      </c>
      <c r="D81">
        <v>0</v>
      </c>
      <c r="E81">
        <v>20</v>
      </c>
      <c r="J81" s="3" t="s">
        <v>199</v>
      </c>
      <c r="K81" t="s">
        <v>201</v>
      </c>
      <c r="L81" t="s">
        <v>202</v>
      </c>
      <c r="M81" t="s">
        <v>203</v>
      </c>
      <c r="N81" t="s">
        <v>203</v>
      </c>
    </row>
    <row r="82" spans="2:14">
      <c r="B82" t="s">
        <v>200</v>
      </c>
      <c r="C82">
        <v>14</v>
      </c>
      <c r="J82" s="3"/>
    </row>
    <row r="83" spans="2:14">
      <c r="B83" t="s">
        <v>252</v>
      </c>
      <c r="C83">
        <v>2</v>
      </c>
      <c r="J83" s="3"/>
      <c r="K83" t="s">
        <v>248</v>
      </c>
      <c r="L83" t="s">
        <v>251</v>
      </c>
      <c r="M83" t="s">
        <v>203</v>
      </c>
      <c r="N83" t="s">
        <v>203</v>
      </c>
    </row>
    <row r="84" spans="2:14">
      <c r="B84" t="s">
        <v>77</v>
      </c>
      <c r="C84">
        <v>60</v>
      </c>
      <c r="D84">
        <v>30</v>
      </c>
    </row>
    <row r="85" spans="2:14">
      <c r="B85" t="s">
        <v>78</v>
      </c>
      <c r="C85">
        <v>0.2</v>
      </c>
      <c r="D85">
        <v>18</v>
      </c>
    </row>
    <row r="86" spans="2:14">
      <c r="B86" t="s">
        <v>261</v>
      </c>
      <c r="C86">
        <v>4</v>
      </c>
      <c r="D86">
        <v>15</v>
      </c>
      <c r="K86" t="s">
        <v>228</v>
      </c>
      <c r="L86" t="s">
        <v>260</v>
      </c>
      <c r="M86" t="s">
        <v>203</v>
      </c>
      <c r="N86" t="s">
        <v>259</v>
      </c>
    </row>
    <row r="87" spans="2:14">
      <c r="B87" t="s">
        <v>262</v>
      </c>
      <c r="C87">
        <v>6</v>
      </c>
      <c r="D87">
        <v>15</v>
      </c>
      <c r="K87" t="s">
        <v>228</v>
      </c>
      <c r="L87" t="s">
        <v>260</v>
      </c>
      <c r="M87" t="s">
        <v>203</v>
      </c>
      <c r="N87" t="s">
        <v>259</v>
      </c>
    </row>
    <row r="88" spans="2:14">
      <c r="B88" t="s">
        <v>263</v>
      </c>
      <c r="C88">
        <v>17</v>
      </c>
      <c r="K88" t="s">
        <v>228</v>
      </c>
      <c r="L88" t="s">
        <v>260</v>
      </c>
      <c r="M88" t="s">
        <v>203</v>
      </c>
      <c r="N88" t="s">
        <v>264</v>
      </c>
    </row>
    <row r="89" spans="2:14">
      <c r="B89" t="s">
        <v>265</v>
      </c>
      <c r="C89">
        <v>6</v>
      </c>
      <c r="K89" t="s">
        <v>228</v>
      </c>
      <c r="L89" t="s">
        <v>260</v>
      </c>
      <c r="M89" t="s">
        <v>203</v>
      </c>
      <c r="N89" t="s">
        <v>264</v>
      </c>
    </row>
    <row r="90" spans="2:14">
      <c r="B90" t="s">
        <v>266</v>
      </c>
      <c r="C90">
        <v>12</v>
      </c>
      <c r="K90" t="s">
        <v>228</v>
      </c>
      <c r="L90" t="s">
        <v>260</v>
      </c>
      <c r="M90" t="s">
        <v>203</v>
      </c>
      <c r="N90" t="s">
        <v>264</v>
      </c>
    </row>
    <row r="91" spans="2:14">
      <c r="B91" t="s">
        <v>16</v>
      </c>
      <c r="C91">
        <v>70</v>
      </c>
      <c r="J91" t="s">
        <v>215</v>
      </c>
      <c r="K91" t="s">
        <v>201</v>
      </c>
      <c r="L91" t="s">
        <v>202</v>
      </c>
      <c r="M91" t="s">
        <v>214</v>
      </c>
      <c r="N91" t="s">
        <v>214</v>
      </c>
    </row>
    <row r="92" spans="2:14">
      <c r="B92" t="s">
        <v>79</v>
      </c>
      <c r="C92">
        <v>1E-3</v>
      </c>
      <c r="D92">
        <v>0</v>
      </c>
    </row>
    <row r="93" spans="2:14">
      <c r="B93" t="s">
        <v>80</v>
      </c>
      <c r="C93">
        <v>80</v>
      </c>
      <c r="D93">
        <v>40</v>
      </c>
    </row>
    <row r="94" spans="2:14">
      <c r="B94" t="s">
        <v>81</v>
      </c>
      <c r="C94">
        <v>70</v>
      </c>
      <c r="D94">
        <v>45</v>
      </c>
    </row>
    <row r="95" spans="2:14">
      <c r="B95" t="s">
        <v>213</v>
      </c>
      <c r="C95">
        <v>70</v>
      </c>
      <c r="D95">
        <v>0</v>
      </c>
      <c r="H95">
        <v>70</v>
      </c>
      <c r="J95" t="s">
        <v>212</v>
      </c>
      <c r="K95" t="s">
        <v>201</v>
      </c>
      <c r="L95" t="s">
        <v>202</v>
      </c>
      <c r="M95" t="s">
        <v>214</v>
      </c>
      <c r="N95" t="s">
        <v>214</v>
      </c>
    </row>
    <row r="96" spans="2:14">
      <c r="B96" t="s">
        <v>213</v>
      </c>
      <c r="C96">
        <v>30</v>
      </c>
      <c r="K96" t="s">
        <v>201</v>
      </c>
    </row>
    <row r="97" spans="2:14">
      <c r="B97" t="s">
        <v>271</v>
      </c>
      <c r="C97">
        <v>23</v>
      </c>
      <c r="K97" t="s">
        <v>228</v>
      </c>
      <c r="L97" t="s">
        <v>241</v>
      </c>
      <c r="M97" t="s">
        <v>203</v>
      </c>
      <c r="N97" t="s">
        <v>259</v>
      </c>
    </row>
    <row r="99" spans="2:14" ht="13.8" thickBot="1"/>
    <row r="100" spans="2:14" ht="13.8" thickBot="1">
      <c r="B100" s="109"/>
      <c r="C100" s="110" t="s">
        <v>6</v>
      </c>
      <c r="D100" s="110" t="s">
        <v>6</v>
      </c>
      <c r="E100" s="110" t="s">
        <v>775</v>
      </c>
      <c r="F100" s="110"/>
      <c r="G100" s="111"/>
      <c r="I100" s="686" t="s">
        <v>1902</v>
      </c>
    </row>
    <row r="101" spans="2:14">
      <c r="B101" s="75"/>
      <c r="C101" s="87" t="s">
        <v>88</v>
      </c>
      <c r="D101" s="87" t="s">
        <v>87</v>
      </c>
      <c r="E101" s="660" t="s">
        <v>50</v>
      </c>
      <c r="F101" s="70"/>
      <c r="G101" s="71"/>
    </row>
    <row r="102" spans="2:14">
      <c r="B102" s="75" t="s">
        <v>2</v>
      </c>
      <c r="C102" s="70">
        <v>1</v>
      </c>
      <c r="D102" s="102" t="s">
        <v>85</v>
      </c>
      <c r="E102" s="70">
        <v>29.5</v>
      </c>
      <c r="F102" s="70">
        <v>33.5</v>
      </c>
      <c r="G102" s="71"/>
    </row>
    <row r="103" spans="2:14">
      <c r="B103" s="75" t="s">
        <v>89</v>
      </c>
      <c r="C103" s="70">
        <v>1</v>
      </c>
      <c r="D103" s="70"/>
      <c r="E103" s="70">
        <v>18.3</v>
      </c>
      <c r="F103" s="70"/>
      <c r="G103" s="71"/>
    </row>
    <row r="104" spans="2:14">
      <c r="B104" s="75"/>
      <c r="C104" s="70"/>
      <c r="D104" s="70"/>
      <c r="E104" s="70"/>
      <c r="F104" s="70"/>
      <c r="G104" s="71"/>
    </row>
    <row r="105" spans="2:14">
      <c r="B105" s="75" t="s">
        <v>90</v>
      </c>
      <c r="C105" s="70">
        <v>1</v>
      </c>
      <c r="D105" s="70">
        <v>1.4E-3</v>
      </c>
      <c r="E105" s="70">
        <v>42.7</v>
      </c>
      <c r="F105" s="70">
        <v>46</v>
      </c>
      <c r="G105" s="71"/>
    </row>
    <row r="106" spans="2:14">
      <c r="B106" s="75" t="s">
        <v>91</v>
      </c>
      <c r="C106" s="70">
        <v>1</v>
      </c>
      <c r="D106" s="70">
        <v>1.1000000000000001E-3</v>
      </c>
      <c r="E106" s="70">
        <v>41.9</v>
      </c>
      <c r="F106" s="70">
        <v>44.8</v>
      </c>
      <c r="G106" s="71"/>
    </row>
    <row r="107" spans="2:14">
      <c r="B107" s="75" t="s">
        <v>92</v>
      </c>
      <c r="C107" s="70">
        <v>1</v>
      </c>
      <c r="D107" s="70">
        <v>1.1999999999999999E-3</v>
      </c>
      <c r="E107" s="70">
        <v>42.3</v>
      </c>
      <c r="F107" s="70">
        <v>44.8</v>
      </c>
      <c r="G107" s="71"/>
    </row>
    <row r="108" spans="2:14">
      <c r="B108" s="75" t="s">
        <v>180</v>
      </c>
      <c r="C108" s="70">
        <v>1</v>
      </c>
      <c r="D108" s="70"/>
      <c r="E108" s="70">
        <v>42.5</v>
      </c>
      <c r="F108" s="70"/>
      <c r="G108" s="71"/>
    </row>
    <row r="109" spans="2:14">
      <c r="B109" s="75" t="s">
        <v>93</v>
      </c>
      <c r="C109" s="70">
        <v>0.39</v>
      </c>
      <c r="D109" s="70">
        <v>1</v>
      </c>
      <c r="E109" s="70">
        <v>118.5</v>
      </c>
      <c r="F109" s="70"/>
      <c r="G109" s="71"/>
    </row>
    <row r="110" spans="2:14">
      <c r="B110" s="75" t="s">
        <v>94</v>
      </c>
      <c r="C110" s="70">
        <v>0.46</v>
      </c>
      <c r="D110" s="70">
        <v>1</v>
      </c>
      <c r="E110" s="70">
        <v>100.5</v>
      </c>
      <c r="F110" s="70"/>
      <c r="G110" s="71"/>
    </row>
    <row r="111" spans="2:14">
      <c r="B111" s="75" t="s">
        <v>54</v>
      </c>
      <c r="C111" s="70">
        <v>1</v>
      </c>
      <c r="D111" s="70">
        <v>0.83299999999999996</v>
      </c>
      <c r="E111" s="70">
        <v>48.5</v>
      </c>
      <c r="F111" s="70"/>
      <c r="G111" s="71"/>
    </row>
    <row r="112" spans="2:14">
      <c r="B112" s="75" t="s">
        <v>95</v>
      </c>
      <c r="C112" s="70">
        <v>0.51</v>
      </c>
      <c r="D112" s="70">
        <v>1</v>
      </c>
      <c r="E112" s="70">
        <v>90.7</v>
      </c>
      <c r="F112" s="70"/>
      <c r="G112" s="71"/>
    </row>
    <row r="113" spans="2:7">
      <c r="B113" s="75" t="s">
        <v>181</v>
      </c>
      <c r="C113" s="70">
        <v>1</v>
      </c>
      <c r="D113" s="70"/>
      <c r="E113" s="70">
        <v>33</v>
      </c>
      <c r="F113" s="70">
        <v>33.9</v>
      </c>
      <c r="G113" s="71"/>
    </row>
    <row r="114" spans="2:7">
      <c r="B114" s="176" t="s">
        <v>2</v>
      </c>
      <c r="C114" s="665">
        <v>1</v>
      </c>
      <c r="D114" s="70"/>
      <c r="E114" s="665">
        <v>27.2</v>
      </c>
      <c r="F114" s="70">
        <v>33.5</v>
      </c>
      <c r="G114" s="71"/>
    </row>
    <row r="115" spans="2:7">
      <c r="B115" s="75" t="s">
        <v>3</v>
      </c>
      <c r="C115" s="70">
        <v>1</v>
      </c>
      <c r="D115" s="70"/>
      <c r="E115" s="70">
        <v>16.5</v>
      </c>
      <c r="F115" s="70">
        <v>17.8</v>
      </c>
      <c r="G115" s="71"/>
    </row>
    <row r="116" spans="2:7">
      <c r="B116" s="75" t="s">
        <v>182</v>
      </c>
      <c r="C116" s="70">
        <v>1</v>
      </c>
      <c r="D116" s="70"/>
      <c r="E116" s="70">
        <v>29.1</v>
      </c>
      <c r="F116" s="70">
        <v>29.3</v>
      </c>
      <c r="G116" s="71"/>
    </row>
    <row r="117" spans="2:7">
      <c r="B117" s="75" t="s">
        <v>183</v>
      </c>
      <c r="C117" s="70">
        <v>1</v>
      </c>
      <c r="D117" s="70"/>
      <c r="E117" s="70">
        <v>23.2</v>
      </c>
      <c r="F117" s="70">
        <v>25.7</v>
      </c>
      <c r="G117" s="71"/>
    </row>
    <row r="118" spans="2:7">
      <c r="B118" s="75" t="s">
        <v>94</v>
      </c>
      <c r="C118" s="70">
        <v>1</v>
      </c>
      <c r="D118" s="70"/>
      <c r="E118" s="70">
        <v>47</v>
      </c>
      <c r="F118" s="70">
        <v>50</v>
      </c>
      <c r="G118" s="71"/>
    </row>
    <row r="119" spans="2:7">
      <c r="B119" s="75" t="s">
        <v>580</v>
      </c>
      <c r="C119" s="70">
        <v>1</v>
      </c>
      <c r="D119" s="70"/>
      <c r="E119" s="70">
        <v>48.6</v>
      </c>
      <c r="F119" s="70">
        <v>53.8</v>
      </c>
      <c r="G119" s="71"/>
    </row>
    <row r="120" spans="2:7">
      <c r="B120" s="75" t="s">
        <v>184</v>
      </c>
      <c r="C120" s="70">
        <v>1</v>
      </c>
      <c r="D120" s="70"/>
      <c r="E120" s="70">
        <v>50.4</v>
      </c>
      <c r="F120" s="70">
        <v>56</v>
      </c>
      <c r="G120" s="71"/>
    </row>
    <row r="121" spans="2:7">
      <c r="B121" s="75" t="s">
        <v>185</v>
      </c>
      <c r="C121" s="70">
        <v>1</v>
      </c>
      <c r="D121" s="70"/>
      <c r="E121" s="70">
        <v>47</v>
      </c>
      <c r="F121" s="70">
        <v>51.3</v>
      </c>
      <c r="G121" s="71"/>
    </row>
    <row r="122" spans="2:7">
      <c r="B122" s="75" t="s">
        <v>95</v>
      </c>
      <c r="C122" s="70">
        <v>1</v>
      </c>
      <c r="D122" s="70"/>
      <c r="E122" s="70">
        <v>46.2</v>
      </c>
      <c r="F122" s="70">
        <v>48</v>
      </c>
      <c r="G122" s="71"/>
    </row>
    <row r="123" spans="2:7">
      <c r="B123" s="75" t="s">
        <v>93</v>
      </c>
      <c r="C123" s="70">
        <v>1</v>
      </c>
      <c r="D123" s="70"/>
      <c r="E123" s="70">
        <v>46</v>
      </c>
      <c r="F123" s="70">
        <v>49.6</v>
      </c>
      <c r="G123" s="71"/>
    </row>
    <row r="124" spans="2:7">
      <c r="B124" s="75" t="s">
        <v>186</v>
      </c>
      <c r="C124" s="70">
        <v>1</v>
      </c>
      <c r="D124" s="70"/>
      <c r="E124" s="70">
        <v>120</v>
      </c>
      <c r="F124" s="70">
        <v>142</v>
      </c>
      <c r="G124" s="71"/>
    </row>
    <row r="125" spans="2:7">
      <c r="B125" s="75" t="s">
        <v>187</v>
      </c>
      <c r="C125" s="70">
        <v>1</v>
      </c>
      <c r="D125" s="70"/>
      <c r="E125" s="70">
        <v>12</v>
      </c>
      <c r="F125" s="70">
        <v>14</v>
      </c>
      <c r="G125" s="71" t="s">
        <v>50</v>
      </c>
    </row>
    <row r="126" spans="2:7">
      <c r="B126" s="75" t="s">
        <v>78</v>
      </c>
      <c r="C126" s="70"/>
      <c r="D126" s="70"/>
      <c r="E126" s="70">
        <v>19</v>
      </c>
      <c r="F126" s="70"/>
      <c r="G126" s="71" t="s">
        <v>50</v>
      </c>
    </row>
    <row r="127" spans="2:7">
      <c r="B127" s="75" t="s">
        <v>188</v>
      </c>
      <c r="C127" s="70"/>
      <c r="D127" s="70"/>
      <c r="E127" s="70">
        <v>20</v>
      </c>
      <c r="F127" s="70"/>
      <c r="G127" s="71"/>
    </row>
    <row r="128" spans="2:7">
      <c r="B128" s="75" t="s">
        <v>189</v>
      </c>
      <c r="C128" s="70"/>
      <c r="D128" s="70"/>
      <c r="E128" s="70">
        <v>18</v>
      </c>
      <c r="F128" s="70">
        <v>22</v>
      </c>
      <c r="G128" s="71" t="s">
        <v>50</v>
      </c>
    </row>
    <row r="129" spans="2:9">
      <c r="B129" s="75" t="s">
        <v>190</v>
      </c>
      <c r="C129" s="70"/>
      <c r="D129" s="70"/>
      <c r="E129" s="70">
        <v>13.5</v>
      </c>
      <c r="F129" s="70">
        <v>15.9</v>
      </c>
      <c r="G129" s="71"/>
    </row>
    <row r="130" spans="2:9">
      <c r="B130" s="75" t="s">
        <v>191</v>
      </c>
      <c r="C130" s="70"/>
      <c r="D130" s="70"/>
      <c r="E130" s="70">
        <v>4</v>
      </c>
      <c r="F130" s="70"/>
      <c r="G130" s="71"/>
      <c r="H130" s="654" t="s">
        <v>1879</v>
      </c>
    </row>
    <row r="131" spans="2:9">
      <c r="B131" s="176" t="s">
        <v>84</v>
      </c>
      <c r="C131" s="70"/>
      <c r="D131" s="70"/>
      <c r="E131" s="665">
        <v>43</v>
      </c>
      <c r="F131" s="70"/>
      <c r="G131" s="71"/>
      <c r="H131" s="654"/>
    </row>
    <row r="132" spans="2:9" ht="16.2" thickBot="1">
      <c r="B132" s="666" t="s">
        <v>10</v>
      </c>
      <c r="C132" s="72"/>
      <c r="D132" s="72"/>
      <c r="E132" s="72"/>
      <c r="F132" s="72"/>
      <c r="G132" s="74"/>
      <c r="H132" s="5" t="s">
        <v>1880</v>
      </c>
    </row>
    <row r="133" spans="2:9">
      <c r="B133" s="70"/>
      <c r="C133" s="70"/>
      <c r="D133" s="70"/>
      <c r="E133" s="70"/>
      <c r="F133" s="70"/>
      <c r="G133" s="70"/>
    </row>
    <row r="135" spans="2:9">
      <c r="B135" t="s">
        <v>151</v>
      </c>
    </row>
    <row r="137" spans="2:9">
      <c r="B137" t="s">
        <v>152</v>
      </c>
    </row>
    <row r="140" spans="2:9">
      <c r="B140" s="686" t="s">
        <v>1898</v>
      </c>
      <c r="I140" s="686" t="s">
        <v>1899</v>
      </c>
    </row>
    <row r="141" spans="2:9">
      <c r="I141" s="686" t="s">
        <v>1900</v>
      </c>
    </row>
    <row r="142" spans="2:9">
      <c r="I142" s="687"/>
    </row>
  </sheetData>
  <phoneticPr fontId="2" type="noConversion"/>
  <hyperlinks>
    <hyperlink ref="A1" location="'About og Fane-Link'!A1" display="Til Forsiden" xr:uid="{00000000-0004-0000-0800-000000000000}"/>
  </hyperlinks>
  <printOptions gridLines="1"/>
  <pageMargins left="0.75" right="0.75" top="1" bottom="1" header="0" footer="0"/>
  <pageSetup paperSize="9" scale="4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35</vt:i4>
      </vt:variant>
      <vt:variant>
        <vt:lpstr>Navngivne områder</vt:lpstr>
      </vt:variant>
      <vt:variant>
        <vt:i4>7</vt:i4>
      </vt:variant>
    </vt:vector>
  </HeadingPairs>
  <TitlesOfParts>
    <vt:vector size="42" baseType="lpstr">
      <vt:lpstr>About og Fane-Link</vt:lpstr>
      <vt:lpstr>Emballage</vt:lpstr>
      <vt:lpstr>Boligens forbrug</vt:lpstr>
      <vt:lpstr>Effektfaktor</vt:lpstr>
      <vt:lpstr>Basic Data</vt:lpstr>
      <vt:lpstr>CO2 udledning</vt:lpstr>
      <vt:lpstr>Energiforsyning</vt:lpstr>
      <vt:lpstr>Global prod.</vt:lpstr>
      <vt:lpstr>Fremstillings &amp; Brændværdi</vt:lpstr>
      <vt:lpstr>Materiale_indhold</vt:lpstr>
      <vt:lpstr>Fotokemisk</vt:lpstr>
      <vt:lpstr>Forsuring</vt:lpstr>
      <vt:lpstr>Næringssalte</vt:lpstr>
      <vt:lpstr>Støj</vt:lpstr>
      <vt:lpstr>Metanudslip</vt:lpstr>
      <vt:lpstr>Boligopvarmning</vt:lpstr>
      <vt:lpstr>Madvarer</vt:lpstr>
      <vt:lpstr>Transport</vt:lpstr>
      <vt:lpstr>Kørsels-Calculator</vt:lpstr>
      <vt:lpstr>Personforbrug</vt:lpstr>
      <vt:lpstr>Processer</vt:lpstr>
      <vt:lpstr>Ulykker og lidelser</vt:lpstr>
      <vt:lpstr>Energiforbrug</vt:lpstr>
      <vt:lpstr>Belysning</vt:lpstr>
      <vt:lpstr>Forsyningshorisont mm.</vt:lpstr>
      <vt:lpstr>Fremstilling</vt:lpstr>
      <vt:lpstr>Gloser</vt:lpstr>
      <vt:lpstr>Skjult_forbrug</vt:lpstr>
      <vt:lpstr>Emmision faktor</vt:lpstr>
      <vt:lpstr>Proces-emisioner</vt:lpstr>
      <vt:lpstr>Konvertering</vt:lpstr>
      <vt:lpstr>Emision</vt:lpstr>
      <vt:lpstr>Husets udledning Calculator</vt:lpstr>
      <vt:lpstr>Fuel_Emissions_sammenligning</vt:lpstr>
      <vt:lpstr>Basic_data_2</vt:lpstr>
      <vt:lpstr>'CO2 udledning'!_ftn1</vt:lpstr>
      <vt:lpstr>'CO2 udledning'!_ftn2</vt:lpstr>
      <vt:lpstr>'CO2 udledning'!_ftn3</vt:lpstr>
      <vt:lpstr>'CO2 udledning'!_ftnref1</vt:lpstr>
      <vt:lpstr>'CO2 udledning'!_ftnref2</vt:lpstr>
      <vt:lpstr>'CO2 udledning'!_ftnref3</vt:lpstr>
      <vt:lpstr>Transport!Udskriftsområde</vt:lpstr>
    </vt:vector>
  </TitlesOfParts>
  <Company>Euc-syd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valle</dc:creator>
  <cp:lastModifiedBy>Valdemar Thorø</cp:lastModifiedBy>
  <cp:lastPrinted>2009-12-21T17:30:45Z</cp:lastPrinted>
  <dcterms:created xsi:type="dcterms:W3CDTF">2009-12-05T13:05:22Z</dcterms:created>
  <dcterms:modified xsi:type="dcterms:W3CDTF">2021-10-25T09:04:44Z</dcterms:modified>
</cp:coreProperties>
</file>